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Halterophilie\CLUB\Memorial 2026\resultats\"/>
    </mc:Choice>
  </mc:AlternateContent>
  <xr:revisionPtr revIDLastSave="0" documentId="8_{2BBF1FEC-300D-4711-838C-007958BF7479}" xr6:coauthVersionLast="47" xr6:coauthVersionMax="47" xr10:uidLastSave="{00000000-0000-0000-0000-000000000000}"/>
  <bookViews>
    <workbookView xWindow="-108" yWindow="-108" windowWidth="23256" windowHeight="12456" tabRatio="856" activeTab="6" xr2:uid="{00000000-000D-0000-FFFF-FFFF00000000}"/>
  </bookViews>
  <sheets>
    <sheet name="plateau 1 " sheetId="11" r:id="rId1"/>
    <sheet name="plateau 2" sheetId="10" r:id="rId2"/>
    <sheet name="plateau 3" sheetId="9" r:id="rId3"/>
    <sheet name="plateau 4" sheetId="3" r:id="rId4"/>
    <sheet name="classements individuels" sheetId="14" r:id="rId5"/>
    <sheet name="Classement équipe" sheetId="15" r:id="rId6"/>
    <sheet name="Equipe" sheetId="13" r:id="rId7"/>
    <sheet name="grille points" sheetId="16" state="hidden" r:id="rId8"/>
    <sheet name="Minimas" sheetId="4" state="hidden" r:id="rId9"/>
    <sheet name="individuel," sheetId="12" r:id="rId10"/>
  </sheets>
  <definedNames>
    <definedName name="SENIORS_Min">Minimas!$C$38</definedName>
    <definedName name="U10_Max">Minimas!$D$33</definedName>
    <definedName name="U13_Max">Minimas!$D$34</definedName>
    <definedName name="U13_Min">Minimas!$C$34</definedName>
    <definedName name="U15_Max">Minimas!$D$35</definedName>
    <definedName name="U15_Min">Minimas!$C$35</definedName>
    <definedName name="U17_Max">Minimas!$D$36</definedName>
    <definedName name="U17_Min">Minimas!$C$36</definedName>
    <definedName name="U20_Max">Minimas!$D$37</definedName>
    <definedName name="U20_Min">Minimas!$C$37</definedName>
    <definedName name="_xlnm.Print_Area" localSheetId="4">'classements individuels'!$A$1:$W$60</definedName>
    <definedName name="_xlnm.Print_Area" localSheetId="6">Equipe!$A$1:$W$6</definedName>
    <definedName name="_xlnm.Print_Area" localSheetId="9">'individuel,'!$A$1:$W$58</definedName>
    <definedName name="_xlnm.Print_Area" localSheetId="0">'plateau 1 '!$A$1:$W$21</definedName>
    <definedName name="_xlnm.Print_Area" localSheetId="1">'plateau 2'!$A$1:$W$21</definedName>
    <definedName name="_xlnm.Print_Area" localSheetId="2">'plateau 3'!$A$1:$W$22</definedName>
    <definedName name="_xlnm.Print_Area" localSheetId="3">'plateau 4'!$A$1:$W$21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0" i="13" l="1"/>
  <c r="V92" i="13"/>
  <c r="V84" i="13"/>
  <c r="V76" i="13"/>
  <c r="V68" i="13"/>
  <c r="V60" i="13"/>
  <c r="V52" i="13"/>
  <c r="V44" i="13"/>
  <c r="V36" i="13"/>
  <c r="V28" i="13"/>
  <c r="V20" i="13"/>
  <c r="V12" i="13"/>
  <c r="I11" i="14"/>
  <c r="F13" i="14"/>
  <c r="S8" i="9"/>
  <c r="S17" i="11"/>
  <c r="J99" i="13"/>
  <c r="I99" i="13"/>
  <c r="G99" i="13"/>
  <c r="F99" i="13"/>
  <c r="E99" i="13"/>
  <c r="D99" i="13"/>
  <c r="J98" i="13"/>
  <c r="I98" i="13"/>
  <c r="G98" i="13"/>
  <c r="F98" i="13"/>
  <c r="E98" i="13"/>
  <c r="D98" i="13"/>
  <c r="J97" i="13"/>
  <c r="I97" i="13"/>
  <c r="E97" i="13"/>
  <c r="D97" i="13"/>
  <c r="J96" i="13"/>
  <c r="I96" i="13"/>
  <c r="A11" i="15" s="1"/>
  <c r="G96" i="13"/>
  <c r="F96" i="13"/>
  <c r="E96" i="13"/>
  <c r="D96" i="13"/>
  <c r="S91" i="13"/>
  <c r="P91" i="13"/>
  <c r="M91" i="13"/>
  <c r="L91" i="13"/>
  <c r="K91" i="13"/>
  <c r="J91" i="13"/>
  <c r="I91" i="13"/>
  <c r="H91" i="13"/>
  <c r="G91" i="13"/>
  <c r="F91" i="13"/>
  <c r="E91" i="13"/>
  <c r="D91" i="13"/>
  <c r="J90" i="13"/>
  <c r="I90" i="13"/>
  <c r="G90" i="13"/>
  <c r="F90" i="13"/>
  <c r="E90" i="13"/>
  <c r="D90" i="13"/>
  <c r="J89" i="13"/>
  <c r="I89" i="13"/>
  <c r="H89" i="13"/>
  <c r="G89" i="13"/>
  <c r="F89" i="13"/>
  <c r="E89" i="13"/>
  <c r="D89" i="13"/>
  <c r="J88" i="13"/>
  <c r="I88" i="13"/>
  <c r="A20" i="15" s="1"/>
  <c r="G88" i="13"/>
  <c r="F88" i="13"/>
  <c r="E88" i="13"/>
  <c r="D88" i="13"/>
  <c r="J83" i="13"/>
  <c r="I83" i="13"/>
  <c r="G83" i="13"/>
  <c r="F83" i="13"/>
  <c r="E83" i="13"/>
  <c r="D83" i="13"/>
  <c r="J82" i="13"/>
  <c r="I82" i="13"/>
  <c r="G82" i="13"/>
  <c r="F82" i="13"/>
  <c r="E82" i="13"/>
  <c r="D82" i="13"/>
  <c r="J81" i="13"/>
  <c r="I81" i="13"/>
  <c r="G81" i="13"/>
  <c r="E81" i="13"/>
  <c r="D81" i="13"/>
  <c r="J80" i="13"/>
  <c r="I80" i="13"/>
  <c r="A15" i="15" s="1"/>
  <c r="G80" i="13"/>
  <c r="F80" i="13"/>
  <c r="E80" i="13"/>
  <c r="D80" i="13"/>
  <c r="I75" i="13"/>
  <c r="G75" i="13"/>
  <c r="F75" i="13"/>
  <c r="E75" i="13"/>
  <c r="D75" i="13"/>
  <c r="J74" i="13"/>
  <c r="I74" i="13"/>
  <c r="G74" i="13"/>
  <c r="F74" i="13"/>
  <c r="E74" i="13"/>
  <c r="D74" i="13"/>
  <c r="J73" i="13"/>
  <c r="I73" i="13"/>
  <c r="G73" i="13"/>
  <c r="F73" i="13"/>
  <c r="E73" i="13"/>
  <c r="D73" i="13"/>
  <c r="J72" i="13"/>
  <c r="I72" i="13"/>
  <c r="A12" i="15" s="1"/>
  <c r="G72" i="13"/>
  <c r="F72" i="13"/>
  <c r="E72" i="13"/>
  <c r="D72" i="13"/>
  <c r="J67" i="13"/>
  <c r="I67" i="13"/>
  <c r="G67" i="13"/>
  <c r="F67" i="13"/>
  <c r="E67" i="13"/>
  <c r="D67" i="13"/>
  <c r="J66" i="13"/>
  <c r="I66" i="13"/>
  <c r="G66" i="13"/>
  <c r="F66" i="13"/>
  <c r="E66" i="13"/>
  <c r="D66" i="13"/>
  <c r="J64" i="13"/>
  <c r="I64" i="13"/>
  <c r="A9" i="15" s="1"/>
  <c r="H64" i="13"/>
  <c r="G64" i="13"/>
  <c r="E64" i="13"/>
  <c r="D64" i="13"/>
  <c r="J59" i="13"/>
  <c r="I59" i="13"/>
  <c r="G59" i="13"/>
  <c r="F59" i="13"/>
  <c r="E59" i="13"/>
  <c r="D59" i="13"/>
  <c r="J58" i="13"/>
  <c r="I58" i="13"/>
  <c r="G58" i="13"/>
  <c r="F58" i="13"/>
  <c r="E58" i="13"/>
  <c r="D58" i="13"/>
  <c r="G57" i="13"/>
  <c r="F57" i="13"/>
  <c r="E57" i="13"/>
  <c r="D57" i="13"/>
  <c r="J56" i="13"/>
  <c r="I56" i="13"/>
  <c r="H56" i="13"/>
  <c r="G56" i="13"/>
  <c r="F56" i="13"/>
  <c r="E56" i="13"/>
  <c r="D56" i="13"/>
  <c r="S51" i="13"/>
  <c r="P51" i="13"/>
  <c r="M51" i="13"/>
  <c r="L51" i="13"/>
  <c r="K51" i="13"/>
  <c r="J51" i="13"/>
  <c r="I51" i="13"/>
  <c r="H51" i="13"/>
  <c r="G51" i="13"/>
  <c r="F51" i="13"/>
  <c r="E51" i="13"/>
  <c r="D51" i="13"/>
  <c r="J50" i="13"/>
  <c r="I50" i="13"/>
  <c r="G50" i="13"/>
  <c r="F50" i="13"/>
  <c r="E50" i="13"/>
  <c r="D50" i="13"/>
  <c r="I49" i="13"/>
  <c r="G49" i="13"/>
  <c r="F49" i="13"/>
  <c r="E49" i="13"/>
  <c r="D49" i="13"/>
  <c r="J48" i="13"/>
  <c r="I48" i="13"/>
  <c r="A18" i="15" s="1"/>
  <c r="G48" i="13"/>
  <c r="F48" i="13"/>
  <c r="E48" i="13"/>
  <c r="D48" i="13"/>
  <c r="J43" i="13"/>
  <c r="I43" i="13"/>
  <c r="G43" i="13"/>
  <c r="F43" i="13"/>
  <c r="E43" i="13"/>
  <c r="D43" i="13"/>
  <c r="J42" i="13"/>
  <c r="I42" i="13"/>
  <c r="G42" i="13"/>
  <c r="F42" i="13"/>
  <c r="E42" i="13"/>
  <c r="D42" i="13"/>
  <c r="J41" i="13"/>
  <c r="I41" i="13"/>
  <c r="E41" i="13"/>
  <c r="D41" i="13"/>
  <c r="J40" i="13"/>
  <c r="I40" i="13"/>
  <c r="A13" i="15" s="1"/>
  <c r="G40" i="13"/>
  <c r="F40" i="13"/>
  <c r="E40" i="13"/>
  <c r="D40" i="13"/>
  <c r="J35" i="13"/>
  <c r="I35" i="13"/>
  <c r="G35" i="13"/>
  <c r="F35" i="13"/>
  <c r="E35" i="13"/>
  <c r="D35" i="13"/>
  <c r="J34" i="13"/>
  <c r="I34" i="13"/>
  <c r="G34" i="13"/>
  <c r="F34" i="13"/>
  <c r="E34" i="13"/>
  <c r="D34" i="13"/>
  <c r="J33" i="13"/>
  <c r="I33" i="13"/>
  <c r="G33" i="13"/>
  <c r="F33" i="13"/>
  <c r="E33" i="13"/>
  <c r="D33" i="13"/>
  <c r="J32" i="13"/>
  <c r="I32" i="13"/>
  <c r="A19" i="15" s="1"/>
  <c r="G32" i="13"/>
  <c r="F32" i="13"/>
  <c r="E32" i="13"/>
  <c r="D32" i="13"/>
  <c r="J27" i="13"/>
  <c r="I27" i="13"/>
  <c r="H27" i="13"/>
  <c r="G27" i="13"/>
  <c r="F27" i="13"/>
  <c r="E27" i="13"/>
  <c r="D27" i="13"/>
  <c r="J26" i="13"/>
  <c r="I26" i="13"/>
  <c r="H26" i="13"/>
  <c r="G26" i="13"/>
  <c r="F26" i="13"/>
  <c r="E26" i="13"/>
  <c r="D26" i="13"/>
  <c r="J25" i="13"/>
  <c r="I25" i="13"/>
  <c r="G25" i="13"/>
  <c r="F25" i="13"/>
  <c r="E25" i="13"/>
  <c r="D25" i="13"/>
  <c r="J24" i="13"/>
  <c r="I24" i="13"/>
  <c r="A16" i="15" s="1"/>
  <c r="G24" i="13"/>
  <c r="F24" i="13"/>
  <c r="E24" i="13"/>
  <c r="D24" i="13"/>
  <c r="J19" i="13"/>
  <c r="I19" i="13"/>
  <c r="G19" i="13"/>
  <c r="F19" i="13"/>
  <c r="E19" i="13"/>
  <c r="D19" i="13"/>
  <c r="J18" i="13"/>
  <c r="I18" i="13"/>
  <c r="G18" i="13"/>
  <c r="F18" i="13"/>
  <c r="E18" i="13"/>
  <c r="D18" i="13"/>
  <c r="J17" i="13"/>
  <c r="I17" i="13"/>
  <c r="G17" i="13"/>
  <c r="F17" i="13"/>
  <c r="E17" i="13"/>
  <c r="D17" i="13"/>
  <c r="J16" i="13"/>
  <c r="I16" i="13"/>
  <c r="A14" i="15" s="1"/>
  <c r="G16" i="13"/>
  <c r="F16" i="13"/>
  <c r="E16" i="13"/>
  <c r="D16" i="13"/>
  <c r="J11" i="13"/>
  <c r="I11" i="13"/>
  <c r="G11" i="13"/>
  <c r="F11" i="13"/>
  <c r="E11" i="13"/>
  <c r="D11" i="13"/>
  <c r="J10" i="13"/>
  <c r="I10" i="13"/>
  <c r="H10" i="13"/>
  <c r="G10" i="13"/>
  <c r="F10" i="13"/>
  <c r="E10" i="13"/>
  <c r="D10" i="13"/>
  <c r="J9" i="13"/>
  <c r="I9" i="13"/>
  <c r="G9" i="13"/>
  <c r="F9" i="13"/>
  <c r="E9" i="13"/>
  <c r="D9" i="13"/>
  <c r="J8" i="13"/>
  <c r="I8" i="13"/>
  <c r="A10" i="15" s="1"/>
  <c r="H8" i="13"/>
  <c r="G8" i="13"/>
  <c r="F8" i="13"/>
  <c r="E8" i="13"/>
  <c r="D8" i="13"/>
  <c r="B51" i="14"/>
  <c r="C50" i="14"/>
  <c r="D50" i="14"/>
  <c r="E50" i="14"/>
  <c r="F50" i="14"/>
  <c r="G50" i="14"/>
  <c r="H50" i="14"/>
  <c r="I50" i="14"/>
  <c r="J50" i="14"/>
  <c r="K50" i="14"/>
  <c r="L50" i="14"/>
  <c r="M50" i="14"/>
  <c r="N50" i="14"/>
  <c r="P50" i="14"/>
  <c r="Q50" i="14"/>
  <c r="R50" i="14"/>
  <c r="B52" i="14"/>
  <c r="C47" i="14"/>
  <c r="D47" i="14"/>
  <c r="E47" i="14"/>
  <c r="F47" i="14"/>
  <c r="G47" i="14"/>
  <c r="H47" i="14"/>
  <c r="I47" i="14"/>
  <c r="J47" i="14"/>
  <c r="K47" i="14"/>
  <c r="L47" i="14"/>
  <c r="M47" i="14"/>
  <c r="N47" i="14"/>
  <c r="P47" i="14"/>
  <c r="Q47" i="14"/>
  <c r="R47" i="14"/>
  <c r="B53" i="14"/>
  <c r="C51" i="14"/>
  <c r="D51" i="14"/>
  <c r="E51" i="14"/>
  <c r="F51" i="14"/>
  <c r="G51" i="14"/>
  <c r="H51" i="14"/>
  <c r="I51" i="14"/>
  <c r="J51" i="14"/>
  <c r="K51" i="14"/>
  <c r="L51" i="14"/>
  <c r="M51" i="14"/>
  <c r="N51" i="14"/>
  <c r="P51" i="14"/>
  <c r="Q51" i="14"/>
  <c r="R51" i="14"/>
  <c r="B5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P44" i="14"/>
  <c r="Q44" i="14"/>
  <c r="R44" i="14"/>
  <c r="B55" i="14"/>
  <c r="C49" i="14"/>
  <c r="D49" i="14"/>
  <c r="E49" i="14"/>
  <c r="F49" i="14"/>
  <c r="G49" i="14"/>
  <c r="H49" i="14"/>
  <c r="I49" i="14"/>
  <c r="J49" i="14"/>
  <c r="K49" i="14"/>
  <c r="L49" i="14"/>
  <c r="M49" i="14"/>
  <c r="N49" i="14"/>
  <c r="P49" i="14"/>
  <c r="Q49" i="14"/>
  <c r="R49" i="14"/>
  <c r="B56" i="14"/>
  <c r="C60" i="14"/>
  <c r="D60" i="14"/>
  <c r="E60" i="14"/>
  <c r="F60" i="14"/>
  <c r="G60" i="14"/>
  <c r="H60" i="14"/>
  <c r="I60" i="14"/>
  <c r="J60" i="14"/>
  <c r="K60" i="14"/>
  <c r="L60" i="14"/>
  <c r="M60" i="14"/>
  <c r="N60" i="14"/>
  <c r="P60" i="14"/>
  <c r="Q60" i="14"/>
  <c r="R60" i="14"/>
  <c r="B57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P43" i="14"/>
  <c r="Q43" i="14"/>
  <c r="R43" i="14"/>
  <c r="B58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P42" i="14"/>
  <c r="Q42" i="14"/>
  <c r="R42" i="14"/>
  <c r="B59" i="14"/>
  <c r="C52" i="14"/>
  <c r="D52" i="14"/>
  <c r="E52" i="14"/>
  <c r="F52" i="14"/>
  <c r="G52" i="14"/>
  <c r="H52" i="14"/>
  <c r="I52" i="14"/>
  <c r="J52" i="14"/>
  <c r="K52" i="14"/>
  <c r="L52" i="14"/>
  <c r="M52" i="14"/>
  <c r="N52" i="14"/>
  <c r="P52" i="14"/>
  <c r="Q52" i="14"/>
  <c r="R52" i="14"/>
  <c r="B60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P41" i="14"/>
  <c r="Q41" i="14"/>
  <c r="R41" i="14"/>
  <c r="B61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P40" i="14"/>
  <c r="Q40" i="14"/>
  <c r="R40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P46" i="14"/>
  <c r="Q46" i="14"/>
  <c r="R46" i="14"/>
  <c r="B50" i="14"/>
  <c r="B41" i="14"/>
  <c r="C59" i="14"/>
  <c r="D59" i="14"/>
  <c r="E59" i="14"/>
  <c r="F59" i="14"/>
  <c r="G59" i="14"/>
  <c r="H59" i="14"/>
  <c r="I59" i="14"/>
  <c r="J59" i="14"/>
  <c r="K59" i="14"/>
  <c r="L59" i="14"/>
  <c r="M59" i="14"/>
  <c r="N59" i="14"/>
  <c r="P59" i="14"/>
  <c r="Q59" i="14"/>
  <c r="R59" i="14"/>
  <c r="B42" i="14"/>
  <c r="C56" i="14"/>
  <c r="D56" i="14"/>
  <c r="E56" i="14"/>
  <c r="F56" i="14"/>
  <c r="G56" i="14"/>
  <c r="H56" i="14"/>
  <c r="I56" i="14"/>
  <c r="J56" i="14"/>
  <c r="K56" i="14"/>
  <c r="L56" i="14"/>
  <c r="M56" i="14"/>
  <c r="N56" i="14"/>
  <c r="P56" i="14"/>
  <c r="Q56" i="14"/>
  <c r="R56" i="14"/>
  <c r="B43" i="14"/>
  <c r="C53" i="14"/>
  <c r="D53" i="14"/>
  <c r="E53" i="14"/>
  <c r="F53" i="14"/>
  <c r="G53" i="14"/>
  <c r="H53" i="14"/>
  <c r="I53" i="14"/>
  <c r="J53" i="14"/>
  <c r="K53" i="14"/>
  <c r="L53" i="14"/>
  <c r="M53" i="14"/>
  <c r="N53" i="14"/>
  <c r="P53" i="14"/>
  <c r="Q53" i="14"/>
  <c r="R53" i="14"/>
  <c r="B44" i="14"/>
  <c r="C55" i="14"/>
  <c r="D55" i="14"/>
  <c r="E55" i="14"/>
  <c r="F55" i="14"/>
  <c r="G55" i="14"/>
  <c r="H55" i="14"/>
  <c r="I55" i="14"/>
  <c r="J55" i="14"/>
  <c r="K55" i="14"/>
  <c r="L55" i="14"/>
  <c r="M55" i="14"/>
  <c r="N55" i="14"/>
  <c r="P55" i="14"/>
  <c r="Q55" i="14"/>
  <c r="R55" i="14"/>
  <c r="B45" i="14"/>
  <c r="C57" i="14"/>
  <c r="D57" i="14"/>
  <c r="E57" i="14"/>
  <c r="F57" i="14"/>
  <c r="G57" i="14"/>
  <c r="H57" i="14"/>
  <c r="I57" i="14"/>
  <c r="J57" i="14"/>
  <c r="K57" i="14"/>
  <c r="L57" i="14"/>
  <c r="M57" i="14"/>
  <c r="N57" i="14"/>
  <c r="P57" i="14"/>
  <c r="Q57" i="14"/>
  <c r="R57" i="14"/>
  <c r="B46" i="14"/>
  <c r="C58" i="14"/>
  <c r="D58" i="14"/>
  <c r="E58" i="14"/>
  <c r="F58" i="14"/>
  <c r="G58" i="14"/>
  <c r="H58" i="14"/>
  <c r="I58" i="14"/>
  <c r="J58" i="14"/>
  <c r="K58" i="14"/>
  <c r="L58" i="14"/>
  <c r="M58" i="14"/>
  <c r="N58" i="14"/>
  <c r="P58" i="14"/>
  <c r="Q58" i="14"/>
  <c r="R58" i="14"/>
  <c r="B47" i="14"/>
  <c r="C54" i="14"/>
  <c r="D54" i="14"/>
  <c r="E54" i="14"/>
  <c r="F54" i="14"/>
  <c r="G54" i="14"/>
  <c r="H54" i="14"/>
  <c r="I54" i="14"/>
  <c r="J54" i="14"/>
  <c r="K54" i="14"/>
  <c r="L54" i="14"/>
  <c r="M54" i="14"/>
  <c r="N54" i="14"/>
  <c r="P54" i="14"/>
  <c r="Q54" i="14"/>
  <c r="R54" i="14"/>
  <c r="B48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P48" i="14"/>
  <c r="Q48" i="14"/>
  <c r="R48" i="14"/>
  <c r="B49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P45" i="14"/>
  <c r="Q45" i="14"/>
  <c r="R45" i="14"/>
  <c r="C61" i="14"/>
  <c r="D61" i="14"/>
  <c r="E61" i="14"/>
  <c r="F61" i="14"/>
  <c r="G61" i="14"/>
  <c r="H61" i="14"/>
  <c r="I61" i="14"/>
  <c r="J61" i="14"/>
  <c r="K61" i="14"/>
  <c r="L61" i="14"/>
  <c r="M61" i="14"/>
  <c r="N61" i="14"/>
  <c r="P61" i="14"/>
  <c r="Q61" i="14"/>
  <c r="R61" i="14"/>
  <c r="B40" i="14"/>
  <c r="B31" i="14"/>
  <c r="C8" i="14"/>
  <c r="D8" i="14"/>
  <c r="E8" i="14"/>
  <c r="F8" i="14"/>
  <c r="G8" i="14"/>
  <c r="H8" i="14"/>
  <c r="I8" i="14"/>
  <c r="J8" i="14"/>
  <c r="K8" i="14"/>
  <c r="L8" i="14"/>
  <c r="M8" i="14"/>
  <c r="N8" i="14"/>
  <c r="P8" i="14"/>
  <c r="Q8" i="14"/>
  <c r="R8" i="14"/>
  <c r="B20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P31" i="14"/>
  <c r="Q31" i="14"/>
  <c r="R31" i="14"/>
  <c r="B21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P16" i="14"/>
  <c r="Q16" i="14"/>
  <c r="R16" i="14"/>
  <c r="B22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P15" i="14"/>
  <c r="Q15" i="14"/>
  <c r="R15" i="14"/>
  <c r="B23" i="14"/>
  <c r="C11" i="14"/>
  <c r="D11" i="14"/>
  <c r="E11" i="14"/>
  <c r="F11" i="14"/>
  <c r="G11" i="14"/>
  <c r="H11" i="14"/>
  <c r="J11" i="14"/>
  <c r="K11" i="14"/>
  <c r="L11" i="14"/>
  <c r="M11" i="14"/>
  <c r="N11" i="14"/>
  <c r="P11" i="14"/>
  <c r="Q11" i="14"/>
  <c r="R11" i="14"/>
  <c r="B24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P21" i="14"/>
  <c r="Q21" i="14"/>
  <c r="R21" i="14"/>
  <c r="B25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P17" i="14"/>
  <c r="Q17" i="14"/>
  <c r="R17" i="14"/>
  <c r="B26" i="14"/>
  <c r="C9" i="14"/>
  <c r="D9" i="14"/>
  <c r="E9" i="14"/>
  <c r="F9" i="14"/>
  <c r="G9" i="14"/>
  <c r="H9" i="14"/>
  <c r="I9" i="14"/>
  <c r="J9" i="14"/>
  <c r="K9" i="14"/>
  <c r="L9" i="14"/>
  <c r="M9" i="14"/>
  <c r="N9" i="14"/>
  <c r="P9" i="14"/>
  <c r="Q9" i="14"/>
  <c r="R9" i="14"/>
  <c r="B27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P24" i="14"/>
  <c r="Q24" i="14"/>
  <c r="R24" i="14"/>
  <c r="B28" i="14"/>
  <c r="C13" i="14"/>
  <c r="D13" i="14"/>
  <c r="E13" i="14"/>
  <c r="G13" i="14"/>
  <c r="H13" i="14"/>
  <c r="I13" i="14"/>
  <c r="J13" i="14"/>
  <c r="K13" i="14"/>
  <c r="L13" i="14"/>
  <c r="M13" i="14"/>
  <c r="N13" i="14"/>
  <c r="P13" i="14"/>
  <c r="Q13" i="14"/>
  <c r="R13" i="14"/>
  <c r="B29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P10" i="14"/>
  <c r="Q10" i="14"/>
  <c r="R10" i="14"/>
  <c r="B30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P12" i="14"/>
  <c r="Q12" i="14"/>
  <c r="R12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P14" i="14"/>
  <c r="Q14" i="14"/>
  <c r="R14" i="14"/>
  <c r="B19" i="14"/>
  <c r="B17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P22" i="14"/>
  <c r="Q22" i="14"/>
  <c r="R22" i="14"/>
  <c r="B18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P23" i="14"/>
  <c r="Q23" i="14"/>
  <c r="R23" i="14"/>
  <c r="B9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P28" i="14"/>
  <c r="Q28" i="14"/>
  <c r="R28" i="14"/>
  <c r="B10" i="14"/>
  <c r="C30" i="14"/>
  <c r="D30" i="14"/>
  <c r="E30" i="14"/>
  <c r="F30" i="14"/>
  <c r="G30" i="14"/>
  <c r="H30" i="14"/>
  <c r="I30" i="14"/>
  <c r="J30" i="14"/>
  <c r="K30" i="14"/>
  <c r="L30" i="14"/>
  <c r="M30" i="14"/>
  <c r="N30" i="14"/>
  <c r="P30" i="14"/>
  <c r="Q30" i="14"/>
  <c r="R30" i="14"/>
  <c r="B11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P26" i="14"/>
  <c r="Q26" i="14"/>
  <c r="R26" i="14"/>
  <c r="B12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P27" i="14"/>
  <c r="Q27" i="14"/>
  <c r="R27" i="14"/>
  <c r="B13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P19" i="14"/>
  <c r="Q19" i="14"/>
  <c r="R19" i="14"/>
  <c r="B14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P18" i="14"/>
  <c r="Q18" i="14"/>
  <c r="R18" i="14"/>
  <c r="B15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P25" i="14"/>
  <c r="Q25" i="14"/>
  <c r="R25" i="14"/>
  <c r="B16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P20" i="14"/>
  <c r="Q20" i="14"/>
  <c r="R20" i="14"/>
  <c r="C29" i="14"/>
  <c r="E29" i="14"/>
  <c r="F29" i="14"/>
  <c r="G29" i="14"/>
  <c r="H29" i="14"/>
  <c r="I29" i="14"/>
  <c r="J29" i="14"/>
  <c r="K29" i="14"/>
  <c r="L29" i="14"/>
  <c r="M29" i="14"/>
  <c r="N29" i="14"/>
  <c r="P29" i="14"/>
  <c r="Q29" i="14"/>
  <c r="R29" i="14"/>
  <c r="B8" i="14"/>
  <c r="B48" i="12"/>
  <c r="C48" i="12"/>
  <c r="D48" i="12"/>
  <c r="E48" i="12"/>
  <c r="F48" i="12"/>
  <c r="G48" i="12"/>
  <c r="H48" i="12"/>
  <c r="H75" i="13" s="1"/>
  <c r="I48" i="12"/>
  <c r="J48" i="12"/>
  <c r="J75" i="13" s="1"/>
  <c r="K48" i="12"/>
  <c r="L48" i="12"/>
  <c r="M48" i="12"/>
  <c r="N48" i="12"/>
  <c r="P48" i="12"/>
  <c r="Q48" i="12"/>
  <c r="R48" i="12"/>
  <c r="B49" i="12"/>
  <c r="C49" i="12"/>
  <c r="D49" i="12"/>
  <c r="E49" i="12"/>
  <c r="F49" i="12"/>
  <c r="G49" i="12"/>
  <c r="H49" i="12"/>
  <c r="H59" i="13" s="1"/>
  <c r="I49" i="12"/>
  <c r="J49" i="12"/>
  <c r="K49" i="12"/>
  <c r="L49" i="12"/>
  <c r="M49" i="12"/>
  <c r="N49" i="12"/>
  <c r="P49" i="12"/>
  <c r="Q49" i="12"/>
  <c r="R49" i="12"/>
  <c r="B50" i="12"/>
  <c r="C50" i="12"/>
  <c r="D50" i="12"/>
  <c r="E50" i="12"/>
  <c r="F50" i="12"/>
  <c r="G50" i="12"/>
  <c r="H50" i="12"/>
  <c r="H99" i="13" s="1"/>
  <c r="I50" i="12"/>
  <c r="J50" i="12"/>
  <c r="K50" i="12"/>
  <c r="L50" i="12"/>
  <c r="M50" i="12"/>
  <c r="N50" i="12"/>
  <c r="P50" i="12"/>
  <c r="Q50" i="12"/>
  <c r="R50" i="12"/>
  <c r="B51" i="12"/>
  <c r="C51" i="12"/>
  <c r="D51" i="12"/>
  <c r="E51" i="12"/>
  <c r="F51" i="12"/>
  <c r="G51" i="12"/>
  <c r="H51" i="12"/>
  <c r="H66" i="13" s="1"/>
  <c r="I51" i="12"/>
  <c r="J51" i="12"/>
  <c r="K51" i="12"/>
  <c r="L51" i="12"/>
  <c r="M51" i="12"/>
  <c r="N51" i="12"/>
  <c r="P51" i="12"/>
  <c r="Q51" i="12"/>
  <c r="R51" i="12"/>
  <c r="B52" i="12"/>
  <c r="C52" i="12"/>
  <c r="D52" i="12"/>
  <c r="E52" i="12"/>
  <c r="F52" i="12"/>
  <c r="G52" i="12"/>
  <c r="H52" i="12"/>
  <c r="H50" i="13" s="1"/>
  <c r="I52" i="12"/>
  <c r="J52" i="12"/>
  <c r="K52" i="12"/>
  <c r="L52" i="12"/>
  <c r="M52" i="12"/>
  <c r="N52" i="12"/>
  <c r="P52" i="12"/>
  <c r="Q52" i="12"/>
  <c r="R52" i="12"/>
  <c r="B53" i="12"/>
  <c r="C53" i="12"/>
  <c r="D53" i="12"/>
  <c r="E53" i="12"/>
  <c r="F53" i="12"/>
  <c r="G53" i="12"/>
  <c r="H53" i="12"/>
  <c r="I53" i="12"/>
  <c r="J53" i="12"/>
  <c r="K53" i="12"/>
  <c r="L53" i="12"/>
  <c r="M53" i="12"/>
  <c r="N53" i="12"/>
  <c r="P53" i="12"/>
  <c r="Q53" i="12"/>
  <c r="R53" i="12"/>
  <c r="B54" i="12"/>
  <c r="C54" i="12"/>
  <c r="D54" i="12"/>
  <c r="E54" i="12"/>
  <c r="F54" i="12"/>
  <c r="G54" i="12"/>
  <c r="H54" i="12"/>
  <c r="H42" i="13" s="1"/>
  <c r="I54" i="12"/>
  <c r="J54" i="12"/>
  <c r="K54" i="12"/>
  <c r="L54" i="12"/>
  <c r="M54" i="12"/>
  <c r="N54" i="12"/>
  <c r="P54" i="12"/>
  <c r="Q54" i="12"/>
  <c r="R54" i="12"/>
  <c r="B55" i="12"/>
  <c r="C55" i="12"/>
  <c r="D55" i="12"/>
  <c r="E55" i="12"/>
  <c r="F55" i="12"/>
  <c r="G55" i="12"/>
  <c r="H55" i="12"/>
  <c r="H43" i="13" s="1"/>
  <c r="I55" i="12"/>
  <c r="J55" i="12"/>
  <c r="K55" i="12"/>
  <c r="L55" i="12"/>
  <c r="M55" i="12"/>
  <c r="N55" i="12"/>
  <c r="P55" i="12"/>
  <c r="Q55" i="12"/>
  <c r="R55" i="12"/>
  <c r="B56" i="12"/>
  <c r="C56" i="12"/>
  <c r="D56" i="12"/>
  <c r="E56" i="12"/>
  <c r="F56" i="12"/>
  <c r="G56" i="12"/>
  <c r="H56" i="12"/>
  <c r="H83" i="13" s="1"/>
  <c r="I56" i="12"/>
  <c r="J56" i="12"/>
  <c r="K56" i="12"/>
  <c r="L56" i="12"/>
  <c r="M56" i="12"/>
  <c r="N56" i="12"/>
  <c r="P56" i="12"/>
  <c r="Q56" i="12"/>
  <c r="R56" i="12"/>
  <c r="B57" i="12"/>
  <c r="C57" i="12"/>
  <c r="D57" i="12"/>
  <c r="E57" i="12"/>
  <c r="F57" i="12"/>
  <c r="G57" i="12"/>
  <c r="H57" i="12"/>
  <c r="H67" i="13" s="1"/>
  <c r="I57" i="12"/>
  <c r="J57" i="12"/>
  <c r="K57" i="12"/>
  <c r="L57" i="12"/>
  <c r="M57" i="12"/>
  <c r="N57" i="12"/>
  <c r="P57" i="12"/>
  <c r="Q57" i="12"/>
  <c r="R57" i="12"/>
  <c r="B58" i="12"/>
  <c r="C58" i="12"/>
  <c r="D58" i="12"/>
  <c r="E58" i="12"/>
  <c r="F58" i="12"/>
  <c r="G58" i="12"/>
  <c r="H58" i="12"/>
  <c r="H11" i="13" s="1"/>
  <c r="I58" i="12"/>
  <c r="J58" i="12"/>
  <c r="K58" i="12"/>
  <c r="L58" i="12"/>
  <c r="M58" i="12"/>
  <c r="N58" i="12"/>
  <c r="P58" i="12"/>
  <c r="Q58" i="12"/>
  <c r="R58" i="12"/>
  <c r="C47" i="12"/>
  <c r="D47" i="12"/>
  <c r="E47" i="12"/>
  <c r="F47" i="12"/>
  <c r="G47" i="12"/>
  <c r="H47" i="12"/>
  <c r="I47" i="12"/>
  <c r="J47" i="12"/>
  <c r="K47" i="12"/>
  <c r="L47" i="12"/>
  <c r="M47" i="12"/>
  <c r="N47" i="12"/>
  <c r="P47" i="12"/>
  <c r="Q47" i="12"/>
  <c r="R47" i="12"/>
  <c r="B47" i="12"/>
  <c r="B38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P38" i="12"/>
  <c r="Q38" i="12"/>
  <c r="R38" i="12"/>
  <c r="B39" i="12"/>
  <c r="C39" i="12"/>
  <c r="D39" i="12"/>
  <c r="E39" i="12"/>
  <c r="F39" i="12"/>
  <c r="G39" i="12"/>
  <c r="H39" i="12"/>
  <c r="H90" i="13" s="1"/>
  <c r="I39" i="12"/>
  <c r="J39" i="12"/>
  <c r="K39" i="12"/>
  <c r="L39" i="12"/>
  <c r="M39" i="12"/>
  <c r="N39" i="12"/>
  <c r="P39" i="12"/>
  <c r="Q39" i="12"/>
  <c r="R39" i="12"/>
  <c r="B40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P40" i="12"/>
  <c r="Q40" i="12"/>
  <c r="R40" i="12"/>
  <c r="B41" i="12"/>
  <c r="C41" i="12"/>
  <c r="D41" i="12"/>
  <c r="E41" i="12"/>
  <c r="F41" i="12"/>
  <c r="G41" i="12"/>
  <c r="H41" i="12"/>
  <c r="H74" i="13" s="1"/>
  <c r="I41" i="12"/>
  <c r="J41" i="12"/>
  <c r="K41" i="12"/>
  <c r="L41" i="12"/>
  <c r="M41" i="12"/>
  <c r="N41" i="12"/>
  <c r="P41" i="12"/>
  <c r="Q41" i="12"/>
  <c r="R41" i="12"/>
  <c r="B42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P42" i="12"/>
  <c r="Q42" i="12"/>
  <c r="R42" i="12"/>
  <c r="B43" i="12"/>
  <c r="C43" i="12"/>
  <c r="D43" i="12"/>
  <c r="E43" i="12"/>
  <c r="F43" i="12"/>
  <c r="G43" i="12"/>
  <c r="H43" i="12"/>
  <c r="H98" i="13" s="1"/>
  <c r="I43" i="12"/>
  <c r="J43" i="12"/>
  <c r="K43" i="12"/>
  <c r="L43" i="12"/>
  <c r="M43" i="12"/>
  <c r="N43" i="12"/>
  <c r="P43" i="12"/>
  <c r="Q43" i="12"/>
  <c r="R43" i="12"/>
  <c r="B44" i="12"/>
  <c r="C44" i="12"/>
  <c r="D44" i="12"/>
  <c r="E44" i="12"/>
  <c r="F44" i="12"/>
  <c r="G44" i="12"/>
  <c r="H44" i="12"/>
  <c r="H82" i="13" s="1"/>
  <c r="I44" i="12"/>
  <c r="J44" i="12"/>
  <c r="K44" i="12"/>
  <c r="L44" i="12"/>
  <c r="M44" i="12"/>
  <c r="N44" i="12"/>
  <c r="P44" i="12"/>
  <c r="Q44" i="12"/>
  <c r="R44" i="12"/>
  <c r="B45" i="12"/>
  <c r="C45" i="12"/>
  <c r="D45" i="12"/>
  <c r="E45" i="12"/>
  <c r="F45" i="12"/>
  <c r="G45" i="12"/>
  <c r="H45" i="12"/>
  <c r="H58" i="13" s="1"/>
  <c r="I45" i="12"/>
  <c r="J45" i="12"/>
  <c r="K45" i="12"/>
  <c r="L45" i="12"/>
  <c r="M45" i="12"/>
  <c r="N45" i="12"/>
  <c r="P45" i="12"/>
  <c r="Q45" i="12"/>
  <c r="R45" i="12"/>
  <c r="B46" i="12"/>
  <c r="C46" i="12"/>
  <c r="D46" i="12"/>
  <c r="E46" i="12"/>
  <c r="F46" i="12"/>
  <c r="G46" i="12"/>
  <c r="H46" i="12"/>
  <c r="H35" i="13" s="1"/>
  <c r="I46" i="12"/>
  <c r="J46" i="12"/>
  <c r="K46" i="12"/>
  <c r="L46" i="12"/>
  <c r="M46" i="12"/>
  <c r="N46" i="12"/>
  <c r="P46" i="12"/>
  <c r="Q46" i="12"/>
  <c r="R46" i="12"/>
  <c r="C37" i="12"/>
  <c r="D37" i="12"/>
  <c r="E37" i="12"/>
  <c r="F37" i="12"/>
  <c r="G37" i="12"/>
  <c r="H37" i="12"/>
  <c r="H34" i="13" s="1"/>
  <c r="I37" i="12"/>
  <c r="J37" i="12"/>
  <c r="K37" i="12"/>
  <c r="L37" i="12"/>
  <c r="M37" i="12"/>
  <c r="N37" i="12"/>
  <c r="P37" i="12"/>
  <c r="Q37" i="12"/>
  <c r="R37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P33" i="12"/>
  <c r="Q33" i="12"/>
  <c r="R33" i="12"/>
  <c r="T34" i="12"/>
  <c r="W34" i="12"/>
  <c r="B32" i="12"/>
  <c r="F65" i="13" s="1"/>
  <c r="C32" i="12"/>
  <c r="D32" i="12"/>
  <c r="E32" i="12"/>
  <c r="F32" i="12"/>
  <c r="F97" i="13" s="1"/>
  <c r="G32" i="12"/>
  <c r="G97" i="13" s="1"/>
  <c r="H32" i="12"/>
  <c r="H97" i="13" s="1"/>
  <c r="I32" i="12"/>
  <c r="J32" i="12"/>
  <c r="K32" i="12"/>
  <c r="L32" i="12"/>
  <c r="M32" i="12"/>
  <c r="N32" i="12"/>
  <c r="O32" i="12"/>
  <c r="P32" i="12"/>
  <c r="Q32" i="12"/>
  <c r="R32" i="12"/>
  <c r="B20" i="12"/>
  <c r="C20" i="12"/>
  <c r="D20" i="12"/>
  <c r="E20" i="12"/>
  <c r="F20" i="12"/>
  <c r="G20" i="12"/>
  <c r="H20" i="12"/>
  <c r="H33" i="13" s="1"/>
  <c r="I20" i="12"/>
  <c r="J20" i="12"/>
  <c r="K20" i="12"/>
  <c r="L20" i="12"/>
  <c r="M20" i="12"/>
  <c r="N20" i="12"/>
  <c r="P20" i="12"/>
  <c r="Q20" i="12"/>
  <c r="R20" i="12"/>
  <c r="B21" i="12"/>
  <c r="C21" i="12"/>
  <c r="D21" i="12"/>
  <c r="E21" i="12"/>
  <c r="F21" i="12"/>
  <c r="G21" i="12"/>
  <c r="H21" i="12"/>
  <c r="H48" i="13" s="1"/>
  <c r="I21" i="12"/>
  <c r="J21" i="12"/>
  <c r="K21" i="12"/>
  <c r="L21" i="12"/>
  <c r="M21" i="12"/>
  <c r="N21" i="12"/>
  <c r="P21" i="12"/>
  <c r="Q21" i="12"/>
  <c r="R21" i="12"/>
  <c r="B22" i="12"/>
  <c r="C22" i="12"/>
  <c r="D22" i="12"/>
  <c r="E22" i="12"/>
  <c r="F22" i="12"/>
  <c r="G22" i="12"/>
  <c r="H22" i="12"/>
  <c r="H9" i="13" s="1"/>
  <c r="I22" i="12"/>
  <c r="J22" i="12"/>
  <c r="K22" i="12"/>
  <c r="L22" i="12"/>
  <c r="M22" i="12"/>
  <c r="N22" i="12"/>
  <c r="P22" i="12"/>
  <c r="Q22" i="12"/>
  <c r="R22" i="12"/>
  <c r="B23" i="12"/>
  <c r="C23" i="12"/>
  <c r="D23" i="12"/>
  <c r="E23" i="12"/>
  <c r="F23" i="12"/>
  <c r="G23" i="12"/>
  <c r="H23" i="12"/>
  <c r="H18" i="13" s="1"/>
  <c r="I23" i="12"/>
  <c r="J23" i="12"/>
  <c r="K23" i="12"/>
  <c r="L23" i="12"/>
  <c r="M23" i="12"/>
  <c r="N23" i="12"/>
  <c r="P23" i="12"/>
  <c r="Q23" i="12"/>
  <c r="R23" i="12"/>
  <c r="B24" i="12"/>
  <c r="C24" i="12"/>
  <c r="D24" i="12"/>
  <c r="E24" i="12"/>
  <c r="F24" i="12"/>
  <c r="G24" i="12"/>
  <c r="H24" i="12"/>
  <c r="H49" i="13" s="1"/>
  <c r="I24" i="12"/>
  <c r="J24" i="12"/>
  <c r="K24" i="12"/>
  <c r="L24" i="12"/>
  <c r="M24" i="12"/>
  <c r="N24" i="12"/>
  <c r="P24" i="12"/>
  <c r="Q24" i="12"/>
  <c r="R24" i="12"/>
  <c r="B25" i="12"/>
  <c r="C25" i="12"/>
  <c r="D25" i="12"/>
  <c r="E25" i="12"/>
  <c r="F25" i="12"/>
  <c r="G25" i="12"/>
  <c r="H25" i="12"/>
  <c r="H19" i="13" s="1"/>
  <c r="I25" i="12"/>
  <c r="J25" i="12"/>
  <c r="J49" i="13" s="1"/>
  <c r="K25" i="12"/>
  <c r="L25" i="12"/>
  <c r="M25" i="12"/>
  <c r="N25" i="12"/>
  <c r="P25" i="12"/>
  <c r="Q25" i="12"/>
  <c r="R25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P26" i="12"/>
  <c r="Q26" i="12"/>
  <c r="R26" i="12"/>
  <c r="B27" i="12"/>
  <c r="C27" i="12"/>
  <c r="D27" i="12"/>
  <c r="E27" i="12"/>
  <c r="F27" i="12"/>
  <c r="G27" i="12"/>
  <c r="H27" i="12"/>
  <c r="H81" i="13" s="1"/>
  <c r="I27" i="12"/>
  <c r="J27" i="12"/>
  <c r="K27" i="12"/>
  <c r="L27" i="12"/>
  <c r="M27" i="12"/>
  <c r="N27" i="12"/>
  <c r="P27" i="12"/>
  <c r="Q27" i="12"/>
  <c r="R27" i="12"/>
  <c r="B28" i="12"/>
  <c r="C28" i="12"/>
  <c r="D28" i="12"/>
  <c r="E28" i="12"/>
  <c r="F28" i="12"/>
  <c r="F64" i="13" s="1"/>
  <c r="G28" i="12"/>
  <c r="H28" i="12"/>
  <c r="H57" i="13" s="1"/>
  <c r="I28" i="12"/>
  <c r="J28" i="12"/>
  <c r="K28" i="12"/>
  <c r="L28" i="12"/>
  <c r="M28" i="12"/>
  <c r="N28" i="12"/>
  <c r="P28" i="12"/>
  <c r="Q28" i="12"/>
  <c r="R28" i="12"/>
  <c r="B29" i="12"/>
  <c r="C29" i="12"/>
  <c r="D29" i="12"/>
  <c r="E29" i="12"/>
  <c r="F29" i="12"/>
  <c r="F81" i="13" s="1"/>
  <c r="G29" i="12"/>
  <c r="H29" i="12"/>
  <c r="H96" i="13" s="1"/>
  <c r="I29" i="12"/>
  <c r="J29" i="12"/>
  <c r="K29" i="12"/>
  <c r="L29" i="12"/>
  <c r="M29" i="12"/>
  <c r="N29" i="12"/>
  <c r="P29" i="12"/>
  <c r="Q29" i="12"/>
  <c r="R29" i="12"/>
  <c r="B30" i="12"/>
  <c r="C30" i="12"/>
  <c r="D30" i="12"/>
  <c r="E30" i="12"/>
  <c r="F30" i="12"/>
  <c r="G30" i="12"/>
  <c r="H30" i="12"/>
  <c r="I30" i="12"/>
  <c r="I57" i="13" s="1"/>
  <c r="A17" i="15" s="1"/>
  <c r="J30" i="12"/>
  <c r="J57" i="13" s="1"/>
  <c r="K30" i="12"/>
  <c r="L30" i="12"/>
  <c r="M30" i="12"/>
  <c r="N30" i="12"/>
  <c r="P30" i="12"/>
  <c r="Q30" i="12"/>
  <c r="R30" i="12"/>
  <c r="B31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P31" i="12"/>
  <c r="Q31" i="12"/>
  <c r="R31" i="12"/>
  <c r="C19" i="12"/>
  <c r="D19" i="12"/>
  <c r="E19" i="12"/>
  <c r="F19" i="12"/>
  <c r="G19" i="12"/>
  <c r="H19" i="12"/>
  <c r="H73" i="13" s="1"/>
  <c r="I19" i="12"/>
  <c r="J19" i="12"/>
  <c r="K19" i="12"/>
  <c r="L19" i="12"/>
  <c r="M19" i="12"/>
  <c r="N19" i="12"/>
  <c r="P19" i="12"/>
  <c r="Q19" i="12"/>
  <c r="R19" i="12"/>
  <c r="B19" i="12"/>
  <c r="B9" i="12"/>
  <c r="C9" i="12"/>
  <c r="D9" i="12"/>
  <c r="E9" i="12"/>
  <c r="F9" i="12"/>
  <c r="G9" i="12"/>
  <c r="H9" i="12"/>
  <c r="H16" i="13" s="1"/>
  <c r="I9" i="12"/>
  <c r="J9" i="12"/>
  <c r="K9" i="12"/>
  <c r="L9" i="12"/>
  <c r="M9" i="12"/>
  <c r="N9" i="12"/>
  <c r="P9" i="12"/>
  <c r="Q9" i="12"/>
  <c r="R9" i="12"/>
  <c r="B10" i="12"/>
  <c r="C10" i="12"/>
  <c r="D10" i="12"/>
  <c r="E10" i="12"/>
  <c r="F10" i="12"/>
  <c r="G10" i="12"/>
  <c r="H10" i="12"/>
  <c r="H88" i="13" s="1"/>
  <c r="I10" i="12"/>
  <c r="J10" i="12"/>
  <c r="K10" i="12"/>
  <c r="L10" i="12"/>
  <c r="M10" i="12"/>
  <c r="N10" i="12"/>
  <c r="P10" i="12"/>
  <c r="Q10" i="12"/>
  <c r="R10" i="12"/>
  <c r="B11" i="12"/>
  <c r="C11" i="12"/>
  <c r="D11" i="12"/>
  <c r="E11" i="12"/>
  <c r="F11" i="12"/>
  <c r="G11" i="12"/>
  <c r="H11" i="12"/>
  <c r="H17" i="13" s="1"/>
  <c r="I11" i="12"/>
  <c r="J11" i="12"/>
  <c r="K11" i="12"/>
  <c r="L11" i="12"/>
  <c r="M11" i="12"/>
  <c r="N11" i="12"/>
  <c r="P11" i="12"/>
  <c r="Q11" i="12"/>
  <c r="R11" i="12"/>
  <c r="B12" i="12"/>
  <c r="C12" i="12"/>
  <c r="D12" i="12"/>
  <c r="E12" i="12"/>
  <c r="F12" i="12"/>
  <c r="G12" i="12"/>
  <c r="H12" i="12"/>
  <c r="H24" i="13" s="1"/>
  <c r="I12" i="12"/>
  <c r="J12" i="12"/>
  <c r="K12" i="12"/>
  <c r="L12" i="12"/>
  <c r="M12" i="12"/>
  <c r="N12" i="12"/>
  <c r="P12" i="12"/>
  <c r="Q12" i="12"/>
  <c r="R12" i="12"/>
  <c r="B13" i="12"/>
  <c r="C13" i="12"/>
  <c r="D13" i="12"/>
  <c r="E13" i="12"/>
  <c r="F13" i="12"/>
  <c r="G13" i="12"/>
  <c r="H13" i="12"/>
  <c r="H32" i="13" s="1"/>
  <c r="I13" i="12"/>
  <c r="J13" i="12"/>
  <c r="K13" i="12"/>
  <c r="L13" i="12"/>
  <c r="M13" i="12"/>
  <c r="N13" i="12"/>
  <c r="P13" i="12"/>
  <c r="Q13" i="12"/>
  <c r="R13" i="12"/>
  <c r="B14" i="12"/>
  <c r="C14" i="12"/>
  <c r="D14" i="12"/>
  <c r="E14" i="12"/>
  <c r="F14" i="12"/>
  <c r="G14" i="12"/>
  <c r="H14" i="12"/>
  <c r="H25" i="13" s="1"/>
  <c r="I14" i="12"/>
  <c r="J14" i="12"/>
  <c r="K14" i="12"/>
  <c r="L14" i="12"/>
  <c r="M14" i="12"/>
  <c r="N14" i="12"/>
  <c r="P14" i="12"/>
  <c r="Q14" i="12"/>
  <c r="R14" i="12"/>
  <c r="B15" i="12"/>
  <c r="C15" i="12"/>
  <c r="D15" i="12"/>
  <c r="E15" i="12"/>
  <c r="F15" i="12"/>
  <c r="G15" i="12"/>
  <c r="H15" i="12"/>
  <c r="H40" i="13" s="1"/>
  <c r="I15" i="12"/>
  <c r="J15" i="12"/>
  <c r="K15" i="12"/>
  <c r="L15" i="12"/>
  <c r="M15" i="12"/>
  <c r="N15" i="12"/>
  <c r="P15" i="12"/>
  <c r="Q15" i="12"/>
  <c r="R15" i="12"/>
  <c r="B16" i="12"/>
  <c r="C16" i="12"/>
  <c r="D16" i="12"/>
  <c r="E16" i="12"/>
  <c r="F16" i="12"/>
  <c r="G16" i="12"/>
  <c r="H16" i="12"/>
  <c r="H72" i="13" s="1"/>
  <c r="I16" i="12"/>
  <c r="J16" i="12"/>
  <c r="K16" i="12"/>
  <c r="L16" i="12"/>
  <c r="M16" i="12"/>
  <c r="N16" i="12"/>
  <c r="P16" i="12"/>
  <c r="Q16" i="12"/>
  <c r="R16" i="12"/>
  <c r="B17" i="12"/>
  <c r="C17" i="12"/>
  <c r="D17" i="12"/>
  <c r="E17" i="12"/>
  <c r="F17" i="12"/>
  <c r="G17" i="12"/>
  <c r="H17" i="12"/>
  <c r="H80" i="13" s="1"/>
  <c r="I17" i="12"/>
  <c r="J17" i="12"/>
  <c r="K17" i="12"/>
  <c r="L17" i="12"/>
  <c r="M17" i="12"/>
  <c r="N17" i="12"/>
  <c r="P17" i="12"/>
  <c r="Q17" i="12"/>
  <c r="R17" i="12"/>
  <c r="B18" i="12"/>
  <c r="C18" i="12"/>
  <c r="D18" i="12"/>
  <c r="E18" i="12"/>
  <c r="F18" i="12"/>
  <c r="F41" i="13" s="1"/>
  <c r="G18" i="12"/>
  <c r="G41" i="13" s="1"/>
  <c r="H18" i="12"/>
  <c r="H41" i="13" s="1"/>
  <c r="I18" i="12"/>
  <c r="J18" i="12"/>
  <c r="K18" i="12"/>
  <c r="L18" i="12"/>
  <c r="M18" i="12"/>
  <c r="N18" i="12"/>
  <c r="P18" i="12"/>
  <c r="Q18" i="12"/>
  <c r="R18" i="12"/>
  <c r="C8" i="12"/>
  <c r="D8" i="12"/>
  <c r="E8" i="12"/>
  <c r="F8" i="12"/>
  <c r="G8" i="12"/>
  <c r="H8" i="12"/>
  <c r="I8" i="12"/>
  <c r="J8" i="12"/>
  <c r="K8" i="12"/>
  <c r="L8" i="12"/>
  <c r="M8" i="12"/>
  <c r="N8" i="12"/>
  <c r="P8" i="12"/>
  <c r="Q8" i="12"/>
  <c r="R8" i="12"/>
  <c r="S7" i="10"/>
  <c r="S61" i="14" s="1"/>
  <c r="V7" i="10"/>
  <c r="V37" i="12" s="1"/>
  <c r="O7" i="10"/>
  <c r="O37" i="12" s="1"/>
  <c r="K34" i="13" s="1"/>
  <c r="S31" i="14"/>
  <c r="V8" i="9"/>
  <c r="V20" i="12" s="1"/>
  <c r="O8" i="9"/>
  <c r="O31" i="14" s="1"/>
  <c r="S8" i="10"/>
  <c r="S59" i="14" s="1"/>
  <c r="S9" i="10"/>
  <c r="S56" i="14" s="1"/>
  <c r="S10" i="10"/>
  <c r="S53" i="14" s="1"/>
  <c r="S11" i="10"/>
  <c r="S41" i="12" s="1"/>
  <c r="L74" i="13" s="1"/>
  <c r="S12" i="10"/>
  <c r="S57" i="14" s="1"/>
  <c r="S13" i="10"/>
  <c r="S58" i="14" s="1"/>
  <c r="S14" i="10"/>
  <c r="S54" i="14" s="1"/>
  <c r="S15" i="10"/>
  <c r="S48" i="14" s="1"/>
  <c r="S16" i="10"/>
  <c r="S45" i="14" s="1"/>
  <c r="S17" i="10"/>
  <c r="W24" i="3"/>
  <c r="V24" i="3"/>
  <c r="T24" i="3"/>
  <c r="S24" i="3"/>
  <c r="O24" i="3"/>
  <c r="W25" i="9"/>
  <c r="V25" i="9"/>
  <c r="T25" i="9"/>
  <c r="S25" i="9"/>
  <c r="O25" i="9"/>
  <c r="S23" i="9"/>
  <c r="W24" i="10"/>
  <c r="V24" i="10"/>
  <c r="T24" i="10"/>
  <c r="S24" i="10"/>
  <c r="O24" i="10"/>
  <c r="S22" i="10"/>
  <c r="B37" i="12"/>
  <c r="B8" i="12"/>
  <c r="AN24" i="11"/>
  <c r="AK24" i="11"/>
  <c r="AM24" i="11" s="1"/>
  <c r="W24" i="11"/>
  <c r="V24" i="11"/>
  <c r="T24" i="11"/>
  <c r="S24" i="11"/>
  <c r="O24" i="11"/>
  <c r="AN23" i="11"/>
  <c r="AK23" i="11"/>
  <c r="AM23" i="11" s="1"/>
  <c r="AN22" i="11"/>
  <c r="AK22" i="11"/>
  <c r="AM22" i="11" s="1"/>
  <c r="S22" i="11"/>
  <c r="AN21" i="11"/>
  <c r="AK21" i="11"/>
  <c r="AM21" i="11" s="1"/>
  <c r="W21" i="11"/>
  <c r="V21" i="11"/>
  <c r="T21" i="11"/>
  <c r="S21" i="11"/>
  <c r="O21" i="11"/>
  <c r="AN20" i="11"/>
  <c r="AK20" i="11"/>
  <c r="AM20" i="11" s="1"/>
  <c r="W20" i="11"/>
  <c r="V20" i="11"/>
  <c r="T20" i="11"/>
  <c r="S20" i="11"/>
  <c r="O20" i="11"/>
  <c r="V19" i="11"/>
  <c r="S19" i="11"/>
  <c r="O19" i="11"/>
  <c r="V18" i="11"/>
  <c r="S18" i="11"/>
  <c r="O18" i="11"/>
  <c r="V17" i="11"/>
  <c r="V18" i="12" s="1"/>
  <c r="S18" i="12"/>
  <c r="L41" i="13" s="1"/>
  <c r="O17" i="11"/>
  <c r="O23" i="14" s="1"/>
  <c r="V16" i="11"/>
  <c r="V22" i="14" s="1"/>
  <c r="S16" i="11"/>
  <c r="S22" i="14" s="1"/>
  <c r="O16" i="11"/>
  <c r="O22" i="14" s="1"/>
  <c r="V15" i="11"/>
  <c r="V16" i="12" s="1"/>
  <c r="S15" i="11"/>
  <c r="S20" i="14" s="1"/>
  <c r="O15" i="11"/>
  <c r="O16" i="12" s="1"/>
  <c r="K72" i="13" s="1"/>
  <c r="V14" i="11"/>
  <c r="V15" i="12" s="1"/>
  <c r="S14" i="11"/>
  <c r="S25" i="14" s="1"/>
  <c r="O14" i="11"/>
  <c r="O25" i="14" s="1"/>
  <c r="V13" i="11"/>
  <c r="V18" i="14" s="1"/>
  <c r="S13" i="11"/>
  <c r="S18" i="14" s="1"/>
  <c r="O13" i="11"/>
  <c r="O18" i="14" s="1"/>
  <c r="V12" i="11"/>
  <c r="V13" i="12" s="1"/>
  <c r="S12" i="11"/>
  <c r="S13" i="12" s="1"/>
  <c r="L32" i="13" s="1"/>
  <c r="O12" i="11"/>
  <c r="O19" i="14" s="1"/>
  <c r="V11" i="11"/>
  <c r="V27" i="14" s="1"/>
  <c r="S11" i="11"/>
  <c r="S12" i="12" s="1"/>
  <c r="L24" i="13" s="1"/>
  <c r="O11" i="11"/>
  <c r="O27" i="14" s="1"/>
  <c r="V10" i="11"/>
  <c r="V11" i="12" s="1"/>
  <c r="S10" i="11"/>
  <c r="S11" i="12" s="1"/>
  <c r="L17" i="13" s="1"/>
  <c r="O10" i="11"/>
  <c r="O26" i="14" s="1"/>
  <c r="V9" i="11"/>
  <c r="V30" i="14" s="1"/>
  <c r="S9" i="11"/>
  <c r="S10" i="12" s="1"/>
  <c r="L88" i="13" s="1"/>
  <c r="O9" i="11"/>
  <c r="O30" i="14" s="1"/>
  <c r="V8" i="11"/>
  <c r="V28" i="14" s="1"/>
  <c r="S8" i="11"/>
  <c r="S28" i="14" s="1"/>
  <c r="O8" i="11"/>
  <c r="O28" i="14" s="1"/>
  <c r="V7" i="11"/>
  <c r="V29" i="14" s="1"/>
  <c r="S7" i="11"/>
  <c r="S29" i="14" s="1"/>
  <c r="O7" i="11"/>
  <c r="O8" i="12" s="1"/>
  <c r="K8" i="13" s="1"/>
  <c r="AN24" i="10"/>
  <c r="AK24" i="10"/>
  <c r="AM24" i="10" s="1"/>
  <c r="AN23" i="10"/>
  <c r="AK23" i="10"/>
  <c r="AM23" i="10" s="1"/>
  <c r="AE23" i="10"/>
  <c r="AN22" i="10"/>
  <c r="AK22" i="10"/>
  <c r="AM22" i="10" s="1"/>
  <c r="AF22" i="10"/>
  <c r="AN21" i="10"/>
  <c r="AK21" i="10"/>
  <c r="AM21" i="10" s="1"/>
  <c r="W21" i="10"/>
  <c r="V21" i="10"/>
  <c r="T21" i="10"/>
  <c r="S21" i="10"/>
  <c r="O21" i="10"/>
  <c r="V20" i="10"/>
  <c r="S20" i="10"/>
  <c r="O20" i="10"/>
  <c r="T20" i="10" s="1"/>
  <c r="W20" i="10" s="1"/>
  <c r="V19" i="10"/>
  <c r="O19" i="10"/>
  <c r="V18" i="10"/>
  <c r="O18" i="10"/>
  <c r="V17" i="10"/>
  <c r="O17" i="10"/>
  <c r="V16" i="10"/>
  <c r="V46" i="12" s="1"/>
  <c r="O16" i="10"/>
  <c r="O46" i="12" s="1"/>
  <c r="K35" i="13" s="1"/>
  <c r="V15" i="10"/>
  <c r="V45" i="12" s="1"/>
  <c r="O15" i="10"/>
  <c r="O48" i="14" s="1"/>
  <c r="V14" i="10"/>
  <c r="V44" i="12" s="1"/>
  <c r="O14" i="10"/>
  <c r="O44" i="12" s="1"/>
  <c r="K82" i="13" s="1"/>
  <c r="V13" i="10"/>
  <c r="V43" i="12" s="1"/>
  <c r="O13" i="10"/>
  <c r="O43" i="12" s="1"/>
  <c r="K98" i="13" s="1"/>
  <c r="V12" i="10"/>
  <c r="V42" i="12" s="1"/>
  <c r="O12" i="10"/>
  <c r="O42" i="12" s="1"/>
  <c r="K27" i="13" s="1"/>
  <c r="V11" i="10"/>
  <c r="V41" i="12" s="1"/>
  <c r="O11" i="10"/>
  <c r="O55" i="14" s="1"/>
  <c r="V10" i="10"/>
  <c r="V40" i="12" s="1"/>
  <c r="O10" i="10"/>
  <c r="O53" i="14" s="1"/>
  <c r="V9" i="10"/>
  <c r="V56" i="14" s="1"/>
  <c r="O9" i="10"/>
  <c r="O56" i="14" s="1"/>
  <c r="V8" i="10"/>
  <c r="V38" i="12" s="1"/>
  <c r="O8" i="10"/>
  <c r="O59" i="14" s="1"/>
  <c r="AN25" i="9"/>
  <c r="AK25" i="9"/>
  <c r="AM25" i="9" s="1"/>
  <c r="AN24" i="9"/>
  <c r="AK24" i="9"/>
  <c r="AM24" i="9" s="1"/>
  <c r="AN23" i="9"/>
  <c r="AK23" i="9"/>
  <c r="AM23" i="9" s="1"/>
  <c r="AN22" i="9"/>
  <c r="AK22" i="9"/>
  <c r="AM22" i="9" s="1"/>
  <c r="W22" i="9"/>
  <c r="V22" i="9"/>
  <c r="V34" i="12" s="1"/>
  <c r="T22" i="9"/>
  <c r="S22" i="9"/>
  <c r="O22" i="9"/>
  <c r="V21" i="9"/>
  <c r="V33" i="12" s="1"/>
  <c r="S21" i="9"/>
  <c r="O21" i="9"/>
  <c r="O33" i="12" s="1"/>
  <c r="V20" i="9"/>
  <c r="V32" i="12" s="1"/>
  <c r="S20" i="9"/>
  <c r="S32" i="12" s="1"/>
  <c r="O20" i="9"/>
  <c r="V19" i="9"/>
  <c r="V31" i="12" s="1"/>
  <c r="S19" i="9"/>
  <c r="S31" i="12" s="1"/>
  <c r="O19" i="9"/>
  <c r="O8" i="14" s="1"/>
  <c r="V18" i="9"/>
  <c r="V12" i="14" s="1"/>
  <c r="S18" i="9"/>
  <c r="S30" i="12" s="1"/>
  <c r="O18" i="9"/>
  <c r="O30" i="12" s="1"/>
  <c r="V17" i="9"/>
  <c r="V29" i="12" s="1"/>
  <c r="S17" i="9"/>
  <c r="S29" i="12" s="1"/>
  <c r="O17" i="9"/>
  <c r="O29" i="12" s="1"/>
  <c r="K96" i="13" s="1"/>
  <c r="V16" i="9"/>
  <c r="V28" i="12" s="1"/>
  <c r="S16" i="9"/>
  <c r="S28" i="12" s="1"/>
  <c r="O16" i="9"/>
  <c r="O13" i="14" s="1"/>
  <c r="V15" i="9"/>
  <c r="V27" i="12" s="1"/>
  <c r="S15" i="9"/>
  <c r="S24" i="14" s="1"/>
  <c r="O15" i="9"/>
  <c r="O27" i="12" s="1"/>
  <c r="V14" i="9"/>
  <c r="V26" i="12" s="1"/>
  <c r="S14" i="9"/>
  <c r="S26" i="12" s="1"/>
  <c r="L56" i="13" s="1"/>
  <c r="O14" i="9"/>
  <c r="O26" i="12" s="1"/>
  <c r="K56" i="13" s="1"/>
  <c r="V13" i="9"/>
  <c r="V17" i="14" s="1"/>
  <c r="S13" i="9"/>
  <c r="S17" i="14" s="1"/>
  <c r="O13" i="9"/>
  <c r="O25" i="12" s="1"/>
  <c r="V12" i="9"/>
  <c r="V21" i="14" s="1"/>
  <c r="S12" i="9"/>
  <c r="S21" i="14" s="1"/>
  <c r="O12" i="9"/>
  <c r="O21" i="14" s="1"/>
  <c r="V11" i="9"/>
  <c r="V23" i="12" s="1"/>
  <c r="S11" i="9"/>
  <c r="S23" i="12" s="1"/>
  <c r="L18" i="13" s="1"/>
  <c r="O11" i="9"/>
  <c r="O11" i="14" s="1"/>
  <c r="V10" i="9"/>
  <c r="V22" i="12" s="1"/>
  <c r="S10" i="9"/>
  <c r="S15" i="14" s="1"/>
  <c r="O10" i="9"/>
  <c r="O22" i="12" s="1"/>
  <c r="K9" i="13" s="1"/>
  <c r="V9" i="9"/>
  <c r="V16" i="14" s="1"/>
  <c r="S9" i="9"/>
  <c r="S21" i="12" s="1"/>
  <c r="L48" i="13" s="1"/>
  <c r="O9" i="9"/>
  <c r="O16" i="14" s="1"/>
  <c r="V7" i="9"/>
  <c r="V19" i="12" s="1"/>
  <c r="S7" i="9"/>
  <c r="S19" i="12" s="1"/>
  <c r="L73" i="13" s="1"/>
  <c r="O7" i="9"/>
  <c r="O19" i="12" s="1"/>
  <c r="K73" i="13" s="1"/>
  <c r="V14" i="3"/>
  <c r="V43" i="14" s="1"/>
  <c r="V15" i="3"/>
  <c r="V42" i="14" s="1"/>
  <c r="S14" i="3"/>
  <c r="S54" i="12" s="1"/>
  <c r="L42" i="13" s="1"/>
  <c r="S15" i="3"/>
  <c r="S55" i="12" s="1"/>
  <c r="L43" i="13" s="1"/>
  <c r="O14" i="3"/>
  <c r="O43" i="14" s="1"/>
  <c r="O15" i="3"/>
  <c r="O55" i="12" s="1"/>
  <c r="K43" i="13" s="1"/>
  <c r="L57" i="13" l="1"/>
  <c r="S25" i="12"/>
  <c r="S14" i="14"/>
  <c r="O20" i="12"/>
  <c r="K33" i="13" s="1"/>
  <c r="S42" i="12"/>
  <c r="L27" i="13" s="1"/>
  <c r="O31" i="12"/>
  <c r="L97" i="13"/>
  <c r="O12" i="14"/>
  <c r="K97" i="13"/>
  <c r="L96" i="13"/>
  <c r="S10" i="14"/>
  <c r="K81" i="13"/>
  <c r="L64" i="13"/>
  <c r="K19" i="13"/>
  <c r="O23" i="12"/>
  <c r="K18" i="13" s="1"/>
  <c r="O14" i="14"/>
  <c r="O57" i="14"/>
  <c r="S46" i="12"/>
  <c r="L35" i="13" s="1"/>
  <c r="O45" i="14"/>
  <c r="S45" i="12"/>
  <c r="L58" i="13" s="1"/>
  <c r="S44" i="12"/>
  <c r="L82" i="13" s="1"/>
  <c r="S43" i="12"/>
  <c r="L98" i="13" s="1"/>
  <c r="O58" i="14"/>
  <c r="S55" i="14"/>
  <c r="S40" i="12"/>
  <c r="L26" i="13" s="1"/>
  <c r="S39" i="12"/>
  <c r="L90" i="13" s="1"/>
  <c r="O39" i="12"/>
  <c r="K90" i="13" s="1"/>
  <c r="O38" i="12"/>
  <c r="K89" i="13" s="1"/>
  <c r="S17" i="12"/>
  <c r="L80" i="13" s="1"/>
  <c r="S16" i="12"/>
  <c r="L72" i="13" s="1"/>
  <c r="O18" i="12"/>
  <c r="K41" i="13" s="1"/>
  <c r="O15" i="12"/>
  <c r="K40" i="13" s="1"/>
  <c r="O10" i="12"/>
  <c r="K88" i="13" s="1"/>
  <c r="K65" i="13"/>
  <c r="D65" i="13"/>
  <c r="I65" i="13"/>
  <c r="E65" i="13"/>
  <c r="J65" i="13"/>
  <c r="H65" i="13"/>
  <c r="G65" i="13"/>
  <c r="V13" i="14"/>
  <c r="V12" i="12"/>
  <c r="V11" i="14"/>
  <c r="V9" i="14"/>
  <c r="V48" i="14"/>
  <c r="V61" i="14"/>
  <c r="V30" i="12"/>
  <c r="V39" i="12"/>
  <c r="V55" i="14"/>
  <c r="V59" i="14"/>
  <c r="V19" i="14"/>
  <c r="S43" i="14"/>
  <c r="S42" i="14"/>
  <c r="O42" i="14"/>
  <c r="V55" i="12"/>
  <c r="S11" i="14"/>
  <c r="S22" i="12"/>
  <c r="L9" i="13" s="1"/>
  <c r="S20" i="12"/>
  <c r="L33" i="13" s="1"/>
  <c r="S8" i="14"/>
  <c r="O21" i="12"/>
  <c r="K48" i="13" s="1"/>
  <c r="V14" i="14"/>
  <c r="O15" i="14"/>
  <c r="V24" i="14"/>
  <c r="S38" i="12"/>
  <c r="L89" i="13" s="1"/>
  <c r="O40" i="12"/>
  <c r="K26" i="13" s="1"/>
  <c r="O61" i="14"/>
  <c r="V54" i="14"/>
  <c r="V58" i="14"/>
  <c r="O54" i="14"/>
  <c r="O45" i="12"/>
  <c r="K58" i="13" s="1"/>
  <c r="S15" i="12"/>
  <c r="L40" i="13" s="1"/>
  <c r="S9" i="12"/>
  <c r="L16" i="13" s="1"/>
  <c r="S14" i="12"/>
  <c r="L25" i="13" s="1"/>
  <c r="O13" i="12"/>
  <c r="K32" i="13" s="1"/>
  <c r="V26" i="14"/>
  <c r="O29" i="14"/>
  <c r="V23" i="14"/>
  <c r="O9" i="12"/>
  <c r="K16" i="13" s="1"/>
  <c r="V17" i="12"/>
  <c r="V10" i="12"/>
  <c r="O11" i="12"/>
  <c r="K17" i="13" s="1"/>
  <c r="O54" i="12"/>
  <c r="K42" i="13" s="1"/>
  <c r="V54" i="12"/>
  <c r="T21" i="9"/>
  <c r="AF21" i="9" s="1"/>
  <c r="S33" i="12"/>
  <c r="L65" i="13" s="1"/>
  <c r="S12" i="14"/>
  <c r="S13" i="14"/>
  <c r="S9" i="14"/>
  <c r="S24" i="12"/>
  <c r="L49" i="13" s="1"/>
  <c r="O24" i="12"/>
  <c r="K49" i="13" s="1"/>
  <c r="O9" i="14"/>
  <c r="O28" i="12"/>
  <c r="K64" i="13" s="1"/>
  <c r="O10" i="14"/>
  <c r="V8" i="14"/>
  <c r="V10" i="14"/>
  <c r="V24" i="12"/>
  <c r="V31" i="14"/>
  <c r="O41" i="12"/>
  <c r="K74" i="13" s="1"/>
  <c r="V45" i="14"/>
  <c r="V57" i="14"/>
  <c r="V53" i="14"/>
  <c r="S19" i="14"/>
  <c r="S27" i="14"/>
  <c r="S30" i="14"/>
  <c r="S23" i="14"/>
  <c r="O17" i="12"/>
  <c r="K80" i="13" s="1"/>
  <c r="O20" i="14"/>
  <c r="O14" i="12"/>
  <c r="K25" i="13" s="1"/>
  <c r="O12" i="12"/>
  <c r="K24" i="13" s="1"/>
  <c r="V20" i="14"/>
  <c r="V25" i="14"/>
  <c r="V14" i="12"/>
  <c r="O17" i="14"/>
  <c r="V25" i="12"/>
  <c r="S16" i="14"/>
  <c r="V21" i="12"/>
  <c r="S27" i="12"/>
  <c r="O24" i="14"/>
  <c r="S26" i="14"/>
  <c r="V9" i="12"/>
  <c r="V15" i="14"/>
  <c r="S8" i="12"/>
  <c r="L8" i="13" s="1"/>
  <c r="V8" i="12"/>
  <c r="S37" i="12"/>
  <c r="L34" i="13" s="1"/>
  <c r="T12" i="9"/>
  <c r="T61" i="14"/>
  <c r="T17" i="10"/>
  <c r="U24" i="11"/>
  <c r="U25" i="9"/>
  <c r="U21" i="11"/>
  <c r="U24" i="10"/>
  <c r="T18" i="9"/>
  <c r="T10" i="11"/>
  <c r="T16" i="9"/>
  <c r="T15" i="9"/>
  <c r="T17" i="9"/>
  <c r="T14" i="9"/>
  <c r="T13" i="9"/>
  <c r="AG23" i="11"/>
  <c r="AB22" i="9"/>
  <c r="AH25" i="9"/>
  <c r="AG23" i="9"/>
  <c r="AI21" i="10"/>
  <c r="AJ21" i="11"/>
  <c r="AI23" i="9"/>
  <c r="AI22" i="11"/>
  <c r="AI22" i="10"/>
  <c r="T15" i="10"/>
  <c r="T18" i="10"/>
  <c r="T19" i="10"/>
  <c r="W19" i="10" s="1"/>
  <c r="T14" i="10"/>
  <c r="T12" i="10"/>
  <c r="W12" i="10" s="1"/>
  <c r="T16" i="10"/>
  <c r="T13" i="10"/>
  <c r="T8" i="10"/>
  <c r="T20" i="9"/>
  <c r="T11" i="10"/>
  <c r="T7" i="9"/>
  <c r="T19" i="9"/>
  <c r="T10" i="9"/>
  <c r="T9" i="9"/>
  <c r="T10" i="10"/>
  <c r="T11" i="9"/>
  <c r="T9" i="10"/>
  <c r="AG22" i="10"/>
  <c r="U21" i="10"/>
  <c r="U22" i="9"/>
  <c r="U34" i="12" s="1"/>
  <c r="AE24" i="10"/>
  <c r="AD21" i="10"/>
  <c r="AE20" i="11"/>
  <c r="AJ22" i="10"/>
  <c r="AC21" i="10"/>
  <c r="T14" i="3"/>
  <c r="T18" i="11"/>
  <c r="T15" i="11"/>
  <c r="U20" i="11"/>
  <c r="T8" i="11"/>
  <c r="T12" i="11"/>
  <c r="AC22" i="11"/>
  <c r="AF23" i="11"/>
  <c r="T9" i="11"/>
  <c r="T13" i="11"/>
  <c r="AD22" i="11"/>
  <c r="AD21" i="11"/>
  <c r="T14" i="11"/>
  <c r="T19" i="11"/>
  <c r="AG21" i="11"/>
  <c r="AB22" i="11"/>
  <c r="T17" i="11"/>
  <c r="AE24" i="11"/>
  <c r="AE22" i="11"/>
  <c r="T7" i="11"/>
  <c r="T11" i="11"/>
  <c r="T16" i="11"/>
  <c r="AC21" i="11"/>
  <c r="AH22" i="11"/>
  <c r="AJ22" i="11"/>
  <c r="AH23" i="11"/>
  <c r="AF24" i="11"/>
  <c r="AJ22" i="9"/>
  <c r="AD25" i="9"/>
  <c r="AE20" i="10"/>
  <c r="AG20" i="11"/>
  <c r="AE21" i="11"/>
  <c r="AI23" i="11"/>
  <c r="AG24" i="11"/>
  <c r="AF20" i="11"/>
  <c r="AH23" i="9"/>
  <c r="AH20" i="11"/>
  <c r="AF21" i="11"/>
  <c r="AB23" i="11"/>
  <c r="AJ23" i="11"/>
  <c r="AH24" i="11"/>
  <c r="AI20" i="11"/>
  <c r="AC23" i="11"/>
  <c r="AI24" i="11"/>
  <c r="AB20" i="11"/>
  <c r="AJ20" i="11"/>
  <c r="AH21" i="11"/>
  <c r="AF22" i="11"/>
  <c r="AD23" i="11"/>
  <c r="AB24" i="11"/>
  <c r="AJ24" i="11"/>
  <c r="AC20" i="11"/>
  <c r="AI21" i="11"/>
  <c r="AG22" i="11"/>
  <c r="AE23" i="11"/>
  <c r="AC24" i="11"/>
  <c r="AE25" i="9"/>
  <c r="AB22" i="10"/>
  <c r="AG23" i="10"/>
  <c r="AD20" i="11"/>
  <c r="AB21" i="11"/>
  <c r="AD24" i="11"/>
  <c r="AF20" i="10"/>
  <c r="AH23" i="10"/>
  <c r="AF24" i="10"/>
  <c r="AC22" i="9"/>
  <c r="AG20" i="10"/>
  <c r="AE21" i="10"/>
  <c r="AC22" i="10"/>
  <c r="AI23" i="10"/>
  <c r="AG24" i="10"/>
  <c r="AH20" i="10"/>
  <c r="AF21" i="10"/>
  <c r="AD22" i="10"/>
  <c r="AB23" i="10"/>
  <c r="AJ23" i="10"/>
  <c r="AH24" i="10"/>
  <c r="AI20" i="10"/>
  <c r="AG21" i="10"/>
  <c r="AE22" i="10"/>
  <c r="AC23" i="10"/>
  <c r="AI24" i="10"/>
  <c r="AG24" i="9"/>
  <c r="AB20" i="10"/>
  <c r="AJ20" i="10"/>
  <c r="AH21" i="10"/>
  <c r="AD23" i="10"/>
  <c r="AB24" i="10"/>
  <c r="AJ24" i="10"/>
  <c r="AC20" i="10"/>
  <c r="AC24" i="10"/>
  <c r="AD20" i="10"/>
  <c r="AB21" i="10"/>
  <c r="AJ21" i="10"/>
  <c r="AH22" i="10"/>
  <c r="AF23" i="10"/>
  <c r="AD24" i="10"/>
  <c r="AD22" i="9"/>
  <c r="AB23" i="9"/>
  <c r="AJ23" i="9"/>
  <c r="AH24" i="9"/>
  <c r="AF25" i="9"/>
  <c r="AE22" i="9"/>
  <c r="AC23" i="9"/>
  <c r="AI24" i="9"/>
  <c r="AG25" i="9"/>
  <c r="AF22" i="9"/>
  <c r="AD23" i="9"/>
  <c r="AB24" i="9"/>
  <c r="AE23" i="9"/>
  <c r="AC24" i="9"/>
  <c r="AI25" i="9"/>
  <c r="AJ24" i="9"/>
  <c r="AH22" i="9"/>
  <c r="AF23" i="9"/>
  <c r="AD24" i="9"/>
  <c r="AB25" i="9"/>
  <c r="AJ25" i="9"/>
  <c r="AG22" i="9"/>
  <c r="AI22" i="9"/>
  <c r="AE24" i="9"/>
  <c r="AC25" i="9"/>
  <c r="AF24" i="9"/>
  <c r="T15" i="3"/>
  <c r="L19" i="13" l="1"/>
  <c r="K57" i="13"/>
  <c r="L81" i="13"/>
  <c r="AI21" i="9"/>
  <c r="AH21" i="9"/>
  <c r="AD21" i="9"/>
  <c r="AC21" i="9"/>
  <c r="T14" i="14"/>
  <c r="T19" i="12"/>
  <c r="M73" i="13" s="1"/>
  <c r="T31" i="14"/>
  <c r="T20" i="12"/>
  <c r="M33" i="13" s="1"/>
  <c r="AG21" i="9"/>
  <c r="AE21" i="9"/>
  <c r="AJ21" i="9"/>
  <c r="AN21" i="9" s="1"/>
  <c r="AB21" i="9"/>
  <c r="T42" i="14"/>
  <c r="T55" i="12"/>
  <c r="M43" i="13" s="1"/>
  <c r="T43" i="14"/>
  <c r="T54" i="12"/>
  <c r="M42" i="13" s="1"/>
  <c r="W21" i="9"/>
  <c r="T33" i="12"/>
  <c r="T24" i="12"/>
  <c r="T21" i="14"/>
  <c r="T26" i="12"/>
  <c r="M56" i="13" s="1"/>
  <c r="T9" i="14"/>
  <c r="T13" i="14"/>
  <c r="T28" i="12"/>
  <c r="AD17" i="9"/>
  <c r="T10" i="14"/>
  <c r="T29" i="12"/>
  <c r="T30" i="12"/>
  <c r="T12" i="14"/>
  <c r="AG18" i="9"/>
  <c r="T31" i="12"/>
  <c r="T8" i="14"/>
  <c r="T32" i="12"/>
  <c r="AF16" i="10"/>
  <c r="T45" i="14"/>
  <c r="T46" i="12"/>
  <c r="M35" i="13" s="1"/>
  <c r="T48" i="14"/>
  <c r="T45" i="12"/>
  <c r="M58" i="13" s="1"/>
  <c r="T54" i="14"/>
  <c r="T44" i="12"/>
  <c r="M82" i="13" s="1"/>
  <c r="T58" i="14"/>
  <c r="T43" i="12"/>
  <c r="M98" i="13" s="1"/>
  <c r="T57" i="14"/>
  <c r="T42" i="12"/>
  <c r="M27" i="13" s="1"/>
  <c r="T55" i="14"/>
  <c r="T41" i="12"/>
  <c r="M74" i="13" s="1"/>
  <c r="T53" i="14"/>
  <c r="T40" i="12"/>
  <c r="M26" i="13" s="1"/>
  <c r="T56" i="14"/>
  <c r="T39" i="12"/>
  <c r="M90" i="13" s="1"/>
  <c r="T38" i="12"/>
  <c r="M89" i="13" s="1"/>
  <c r="T59" i="14"/>
  <c r="W42" i="12"/>
  <c r="P27" i="13" s="1"/>
  <c r="S27" i="13" s="1"/>
  <c r="W57" i="14"/>
  <c r="T18" i="12"/>
  <c r="M41" i="13" s="1"/>
  <c r="T23" i="14"/>
  <c r="T22" i="14"/>
  <c r="T17" i="12"/>
  <c r="M80" i="13" s="1"/>
  <c r="T20" i="14"/>
  <c r="T16" i="12"/>
  <c r="M72" i="13" s="1"/>
  <c r="T25" i="14"/>
  <c r="T15" i="12"/>
  <c r="M40" i="13" s="1"/>
  <c r="T18" i="14"/>
  <c r="T14" i="12"/>
  <c r="M25" i="13" s="1"/>
  <c r="T19" i="14"/>
  <c r="T13" i="12"/>
  <c r="M32" i="13" s="1"/>
  <c r="T27" i="14"/>
  <c r="T12" i="12"/>
  <c r="M24" i="13" s="1"/>
  <c r="T10" i="12"/>
  <c r="M88" i="13" s="1"/>
  <c r="T30" i="14"/>
  <c r="T25" i="12"/>
  <c r="M49" i="13" s="1"/>
  <c r="T17" i="14"/>
  <c r="T16" i="14"/>
  <c r="T21" i="12"/>
  <c r="M48" i="13" s="1"/>
  <c r="AE15" i="9"/>
  <c r="T24" i="14"/>
  <c r="T27" i="12"/>
  <c r="T11" i="14"/>
  <c r="T23" i="12"/>
  <c r="M18" i="13" s="1"/>
  <c r="T11" i="12"/>
  <c r="M17" i="13" s="1"/>
  <c r="T26" i="14"/>
  <c r="T28" i="14"/>
  <c r="T9" i="12"/>
  <c r="M16" i="13" s="1"/>
  <c r="T15" i="14"/>
  <c r="T22" i="12"/>
  <c r="M9" i="13" s="1"/>
  <c r="T29" i="14"/>
  <c r="T8" i="12"/>
  <c r="M8" i="13" s="1"/>
  <c r="W7" i="10"/>
  <c r="T37" i="12"/>
  <c r="M34" i="13" s="1"/>
  <c r="AI16" i="10"/>
  <c r="AD14" i="3"/>
  <c r="AJ8" i="9"/>
  <c r="W8" i="9"/>
  <c r="AH8" i="9"/>
  <c r="AD8" i="9"/>
  <c r="AF8" i="9"/>
  <c r="AG8" i="9"/>
  <c r="AB8" i="9"/>
  <c r="AE8" i="9"/>
  <c r="AI8" i="9"/>
  <c r="AC8" i="9"/>
  <c r="AE17" i="10"/>
  <c r="AE12" i="10"/>
  <c r="AB11" i="11"/>
  <c r="AC11" i="11"/>
  <c r="AD11" i="11"/>
  <c r="AE11" i="11"/>
  <c r="AF11" i="11"/>
  <c r="AG11" i="11"/>
  <c r="AH11" i="11"/>
  <c r="AI11" i="11"/>
  <c r="AJ11" i="11"/>
  <c r="AG7" i="9"/>
  <c r="AB13" i="9"/>
  <c r="AF13" i="9"/>
  <c r="W13" i="9"/>
  <c r="AE13" i="9"/>
  <c r="AI13" i="9"/>
  <c r="AE16" i="9"/>
  <c r="AD13" i="9"/>
  <c r="AE10" i="9"/>
  <c r="AE13" i="10"/>
  <c r="W14" i="10"/>
  <c r="AG8" i="10"/>
  <c r="W15" i="10"/>
  <c r="AD16" i="10"/>
  <c r="AD10" i="10"/>
  <c r="AC13" i="9"/>
  <c r="AJ13" i="9"/>
  <c r="AH13" i="9"/>
  <c r="AG13" i="9"/>
  <c r="AE18" i="10"/>
  <c r="AC16" i="10"/>
  <c r="AG16" i="10"/>
  <c r="AD18" i="10"/>
  <c r="AB18" i="10"/>
  <c r="AF18" i="10"/>
  <c r="AI10" i="9"/>
  <c r="AJ18" i="10"/>
  <c r="AJ16" i="10"/>
  <c r="AB16" i="10"/>
  <c r="AH16" i="10"/>
  <c r="AH18" i="10"/>
  <c r="AI18" i="10"/>
  <c r="W18" i="10"/>
  <c r="AG18" i="10"/>
  <c r="AC18" i="10"/>
  <c r="AE16" i="10"/>
  <c r="AG20" i="9"/>
  <c r="AB20" i="9"/>
  <c r="AI20" i="9"/>
  <c r="AJ20" i="9"/>
  <c r="AC20" i="9"/>
  <c r="AF20" i="9"/>
  <c r="AE20" i="9"/>
  <c r="AD20" i="9"/>
  <c r="AE18" i="9"/>
  <c r="AD18" i="9"/>
  <c r="AB17" i="9"/>
  <c r="AE17" i="9"/>
  <c r="AC15" i="10"/>
  <c r="AJ7" i="10"/>
  <c r="AF7" i="10"/>
  <c r="AG7" i="10"/>
  <c r="AI7" i="10"/>
  <c r="AB15" i="10"/>
  <c r="AG15" i="10"/>
  <c r="AG14" i="10"/>
  <c r="AB14" i="10"/>
  <c r="AI13" i="10"/>
  <c r="AE7" i="10"/>
  <c r="AC7" i="10"/>
  <c r="AB7" i="10"/>
  <c r="AE19" i="10"/>
  <c r="AD19" i="10"/>
  <c r="AB17" i="10"/>
  <c r="AD17" i="10"/>
  <c r="AI17" i="10"/>
  <c r="AI15" i="10"/>
  <c r="AJ15" i="10"/>
  <c r="AH14" i="10"/>
  <c r="AF14" i="10"/>
  <c r="AE14" i="10"/>
  <c r="AH13" i="10"/>
  <c r="AG13" i="10"/>
  <c r="AD13" i="10"/>
  <c r="AJ13" i="10"/>
  <c r="AB13" i="10"/>
  <c r="W13" i="10"/>
  <c r="AD7" i="10"/>
  <c r="AH7" i="10"/>
  <c r="AD14" i="10"/>
  <c r="AI14" i="10"/>
  <c r="AB7" i="9"/>
  <c r="AD16" i="9"/>
  <c r="AC7" i="9"/>
  <c r="AI18" i="9"/>
  <c r="AJ18" i="9"/>
  <c r="AD12" i="10"/>
  <c r="AC19" i="10"/>
  <c r="AJ12" i="10"/>
  <c r="AJ14" i="10"/>
  <c r="AD15" i="10"/>
  <c r="AH15" i="10"/>
  <c r="AE15" i="10"/>
  <c r="AD8" i="10"/>
  <c r="AB12" i="10"/>
  <c r="AF15" i="10"/>
  <c r="AC14" i="10"/>
  <c r="AH17" i="10"/>
  <c r="AH12" i="10"/>
  <c r="AG17" i="10"/>
  <c r="AB8" i="10"/>
  <c r="AB19" i="10"/>
  <c r="AC17" i="10"/>
  <c r="AG12" i="10"/>
  <c r="AI12" i="10"/>
  <c r="AF8" i="10"/>
  <c r="AF12" i="10"/>
  <c r="AF17" i="10"/>
  <c r="AJ17" i="10"/>
  <c r="AG19" i="10"/>
  <c r="AJ8" i="10"/>
  <c r="AH8" i="10"/>
  <c r="AC12" i="10"/>
  <c r="AC8" i="10"/>
  <c r="AE14" i="3"/>
  <c r="AH14" i="3"/>
  <c r="AF14" i="3"/>
  <c r="W14" i="3"/>
  <c r="AI19" i="10"/>
  <c r="AH19" i="10"/>
  <c r="AJ19" i="10"/>
  <c r="AF19" i="10"/>
  <c r="AF13" i="10"/>
  <c r="AC13" i="10"/>
  <c r="AH10" i="10"/>
  <c r="W17" i="10"/>
  <c r="W16" i="10"/>
  <c r="W11" i="10"/>
  <c r="AJ11" i="10"/>
  <c r="AC11" i="10"/>
  <c r="AE10" i="10"/>
  <c r="W9" i="10"/>
  <c r="AI8" i="10"/>
  <c r="AE8" i="10"/>
  <c r="W8" i="10"/>
  <c r="AH20" i="9"/>
  <c r="W20" i="9"/>
  <c r="AF18" i="9"/>
  <c r="AC18" i="9"/>
  <c r="AH18" i="9"/>
  <c r="AB18" i="9"/>
  <c r="AC19" i="9"/>
  <c r="W18" i="9"/>
  <c r="W17" i="9"/>
  <c r="AC16" i="9"/>
  <c r="AH15" i="9"/>
  <c r="AI15" i="9"/>
  <c r="AJ15" i="9"/>
  <c r="AB15" i="9"/>
  <c r="AC15" i="9"/>
  <c r="AG15" i="9"/>
  <c r="W15" i="9"/>
  <c r="W14" i="9"/>
  <c r="AF14" i="9"/>
  <c r="W12" i="9"/>
  <c r="AD11" i="9"/>
  <c r="AG10" i="9"/>
  <c r="AE9" i="9"/>
  <c r="W7" i="9"/>
  <c r="AB18" i="11"/>
  <c r="AJ18" i="11"/>
  <c r="W18" i="11"/>
  <c r="AG15" i="11"/>
  <c r="AF10" i="11"/>
  <c r="AJ10" i="10"/>
  <c r="AB11" i="10"/>
  <c r="AI10" i="10"/>
  <c r="AE11" i="10"/>
  <c r="AI11" i="10"/>
  <c r="AH11" i="10"/>
  <c r="AG11" i="10"/>
  <c r="AF11" i="10"/>
  <c r="AG10" i="10"/>
  <c r="AD11" i="10"/>
  <c r="W9" i="11"/>
  <c r="AH18" i="11"/>
  <c r="AE18" i="11"/>
  <c r="AJ10" i="9"/>
  <c r="AD7" i="9"/>
  <c r="AJ7" i="9"/>
  <c r="AH17" i="9"/>
  <c r="AF7" i="9"/>
  <c r="AH16" i="9"/>
  <c r="AB10" i="9"/>
  <c r="AF15" i="9"/>
  <c r="AF17" i="9"/>
  <c r="AH7" i="9"/>
  <c r="AC17" i="9"/>
  <c r="AI17" i="9"/>
  <c r="AH10" i="9"/>
  <c r="AG17" i="9"/>
  <c r="AD10" i="9"/>
  <c r="AI7" i="9"/>
  <c r="AC12" i="9"/>
  <c r="AB16" i="9"/>
  <c r="AJ17" i="9"/>
  <c r="AE7" i="9"/>
  <c r="AD15" i="9"/>
  <c r="AF16" i="9"/>
  <c r="W10" i="9"/>
  <c r="AJ19" i="9"/>
  <c r="AB9" i="9"/>
  <c r="AG9" i="9"/>
  <c r="AD9" i="9"/>
  <c r="AF10" i="9"/>
  <c r="AC10" i="9"/>
  <c r="AJ12" i="9"/>
  <c r="AF12" i="9"/>
  <c r="AE12" i="9"/>
  <c r="AH12" i="9"/>
  <c r="AI12" i="9"/>
  <c r="AB12" i="9"/>
  <c r="AD12" i="9"/>
  <c r="AG12" i="9"/>
  <c r="AJ14" i="9"/>
  <c r="AH14" i="9"/>
  <c r="AD14" i="9"/>
  <c r="AB14" i="9"/>
  <c r="AI14" i="9"/>
  <c r="AC14" i="9"/>
  <c r="AE14" i="9"/>
  <c r="AG14" i="9"/>
  <c r="W16" i="9"/>
  <c r="AI16" i="9"/>
  <c r="AJ16" i="9"/>
  <c r="AG16" i="9"/>
  <c r="AF19" i="9"/>
  <c r="AI19" i="9"/>
  <c r="AB19" i="9"/>
  <c r="W19" i="9"/>
  <c r="AD19" i="9"/>
  <c r="AG19" i="9"/>
  <c r="AE19" i="9"/>
  <c r="AH19" i="9"/>
  <c r="W9" i="9"/>
  <c r="AH9" i="9"/>
  <c r="AC9" i="9"/>
  <c r="AI9" i="9"/>
  <c r="AF9" i="9"/>
  <c r="AJ9" i="9"/>
  <c r="AB10" i="10"/>
  <c r="AF10" i="10"/>
  <c r="W10" i="10"/>
  <c r="AC10" i="10"/>
  <c r="W11" i="9"/>
  <c r="AJ11" i="9"/>
  <c r="AI11" i="9"/>
  <c r="AH11" i="9"/>
  <c r="AG11" i="9"/>
  <c r="AC11" i="9"/>
  <c r="AE11" i="9"/>
  <c r="AB11" i="9"/>
  <c r="AF11" i="9"/>
  <c r="AH15" i="11"/>
  <c r="AF18" i="11"/>
  <c r="AC18" i="11"/>
  <c r="W19" i="11"/>
  <c r="AB19" i="11"/>
  <c r="AC19" i="11"/>
  <c r="AI18" i="11"/>
  <c r="AG18" i="11"/>
  <c r="AD18" i="11"/>
  <c r="W17" i="11"/>
  <c r="W16" i="11"/>
  <c r="W15" i="11"/>
  <c r="W14" i="11"/>
  <c r="AE13" i="11"/>
  <c r="AG12" i="11"/>
  <c r="AB8" i="11"/>
  <c r="W10" i="11"/>
  <c r="AH10" i="11"/>
  <c r="AD10" i="11"/>
  <c r="AG10" i="11"/>
  <c r="AJ10" i="11"/>
  <c r="AI10" i="11"/>
  <c r="AB10" i="11"/>
  <c r="AC10" i="11"/>
  <c r="AE10" i="11"/>
  <c r="AD9" i="10"/>
  <c r="AJ9" i="10"/>
  <c r="AB9" i="10"/>
  <c r="AG9" i="10"/>
  <c r="AE9" i="10"/>
  <c r="AC9" i="10"/>
  <c r="AH9" i="10"/>
  <c r="AF9" i="10"/>
  <c r="AI9" i="10"/>
  <c r="AD9" i="11"/>
  <c r="AE9" i="11"/>
  <c r="W7" i="11"/>
  <c r="AJ14" i="3"/>
  <c r="AI14" i="3"/>
  <c r="AB14" i="3"/>
  <c r="AC14" i="3"/>
  <c r="AG14" i="3"/>
  <c r="AK20" i="10"/>
  <c r="AM20" i="10" s="1"/>
  <c r="AN20" i="10"/>
  <c r="AF19" i="11"/>
  <c r="AJ19" i="11"/>
  <c r="AE19" i="11"/>
  <c r="AB9" i="11"/>
  <c r="AI19" i="11"/>
  <c r="AH9" i="11"/>
  <c r="AG9" i="11"/>
  <c r="AH19" i="11"/>
  <c r="AD19" i="11"/>
  <c r="AC15" i="11"/>
  <c r="AI16" i="11"/>
  <c r="AF15" i="11"/>
  <c r="AD15" i="11"/>
  <c r="AJ15" i="11"/>
  <c r="AE15" i="11"/>
  <c r="AB15" i="11"/>
  <c r="AI15" i="11"/>
  <c r="W12" i="11"/>
  <c r="AJ12" i="11"/>
  <c r="AF12" i="11"/>
  <c r="AB12" i="11"/>
  <c r="AC12" i="11"/>
  <c r="AE12" i="11"/>
  <c r="AD12" i="11"/>
  <c r="AI12" i="11"/>
  <c r="AH12" i="11"/>
  <c r="AF9" i="11"/>
  <c r="AI7" i="11"/>
  <c r="AB7" i="11"/>
  <c r="AF7" i="11"/>
  <c r="AE7" i="11"/>
  <c r="AG7" i="11"/>
  <c r="AG19" i="11"/>
  <c r="AG17" i="11"/>
  <c r="AJ16" i="11"/>
  <c r="AB16" i="11"/>
  <c r="AF16" i="11"/>
  <c r="AH16" i="11"/>
  <c r="AC16" i="11"/>
  <c r="AD16" i="11"/>
  <c r="AG16" i="11"/>
  <c r="AF14" i="11"/>
  <c r="AD14" i="11"/>
  <c r="AI14" i="11"/>
  <c r="AJ14" i="11"/>
  <c r="AC14" i="11"/>
  <c r="AB14" i="11"/>
  <c r="AH14" i="11"/>
  <c r="AE14" i="11"/>
  <c r="AG14" i="11"/>
  <c r="AD13" i="11"/>
  <c r="W11" i="11"/>
  <c r="AI9" i="11"/>
  <c r="AC9" i="11"/>
  <c r="AJ9" i="11"/>
  <c r="AI8" i="11"/>
  <c r="AC8" i="11"/>
  <c r="AE8" i="11"/>
  <c r="AH8" i="11"/>
  <c r="AD8" i="11"/>
  <c r="AG8" i="11"/>
  <c r="W8" i="11"/>
  <c r="AF8" i="11"/>
  <c r="AJ8" i="11"/>
  <c r="AD7" i="11"/>
  <c r="AH7" i="11"/>
  <c r="AJ7" i="11"/>
  <c r="AC7" i="11"/>
  <c r="AJ13" i="11"/>
  <c r="AH13" i="11"/>
  <c r="AE17" i="11"/>
  <c r="AJ17" i="11"/>
  <c r="AB13" i="11"/>
  <c r="AF13" i="11"/>
  <c r="W13" i="11"/>
  <c r="AI17" i="11"/>
  <c r="AI13" i="11"/>
  <c r="AB17" i="11"/>
  <c r="AH17" i="11"/>
  <c r="AF17" i="11"/>
  <c r="AG13" i="11"/>
  <c r="AE16" i="11"/>
  <c r="AC17" i="11"/>
  <c r="AC13" i="11"/>
  <c r="AD17" i="11"/>
  <c r="W15" i="3"/>
  <c r="AC15" i="3"/>
  <c r="AD15" i="3"/>
  <c r="AF15" i="3"/>
  <c r="AI15" i="3"/>
  <c r="AE15" i="3"/>
  <c r="AG15" i="3"/>
  <c r="AH15" i="3"/>
  <c r="AB15" i="3"/>
  <c r="AJ15" i="3"/>
  <c r="AK21" i="9" l="1"/>
  <c r="AM21" i="9" s="1"/>
  <c r="M65" i="13"/>
  <c r="M57" i="13"/>
  <c r="M97" i="13"/>
  <c r="M96" i="13"/>
  <c r="M81" i="13"/>
  <c r="M64" i="13"/>
  <c r="M19" i="13"/>
  <c r="U21" i="9"/>
  <c r="W55" i="12"/>
  <c r="P43" i="13" s="1"/>
  <c r="S43" i="13" s="1"/>
  <c r="W42" i="14"/>
  <c r="W54" i="12"/>
  <c r="P42" i="13" s="1"/>
  <c r="S42" i="13" s="1"/>
  <c r="W43" i="14"/>
  <c r="W33" i="12"/>
  <c r="P65" i="13" s="1"/>
  <c r="S65" i="13" s="1"/>
  <c r="U33" i="12"/>
  <c r="W32" i="12"/>
  <c r="W31" i="12"/>
  <c r="W8" i="14"/>
  <c r="W12" i="14"/>
  <c r="W30" i="12"/>
  <c r="W10" i="14"/>
  <c r="W29" i="12"/>
  <c r="W13" i="14"/>
  <c r="W28" i="12"/>
  <c r="W26" i="12"/>
  <c r="P56" i="13" s="1"/>
  <c r="S56" i="13" s="1"/>
  <c r="W9" i="14"/>
  <c r="W24" i="12"/>
  <c r="W21" i="14"/>
  <c r="W20" i="12"/>
  <c r="P33" i="13" s="1"/>
  <c r="S33" i="13" s="1"/>
  <c r="W31" i="14"/>
  <c r="W14" i="14"/>
  <c r="W19" i="12"/>
  <c r="P73" i="13" s="1"/>
  <c r="S73" i="13" s="1"/>
  <c r="W46" i="12"/>
  <c r="P35" i="13" s="1"/>
  <c r="S35" i="13" s="1"/>
  <c r="W45" i="14"/>
  <c r="W48" i="14"/>
  <c r="W45" i="12"/>
  <c r="P58" i="13" s="1"/>
  <c r="S58" i="13" s="1"/>
  <c r="W44" i="12"/>
  <c r="P82" i="13" s="1"/>
  <c r="S82" i="13" s="1"/>
  <c r="W54" i="14"/>
  <c r="W43" i="12"/>
  <c r="P98" i="13" s="1"/>
  <c r="S98" i="13" s="1"/>
  <c r="W58" i="14"/>
  <c r="W41" i="12"/>
  <c r="P74" i="13" s="1"/>
  <c r="S74" i="13" s="1"/>
  <c r="W55" i="14"/>
  <c r="W53" i="14"/>
  <c r="W40" i="12"/>
  <c r="P26" i="13" s="1"/>
  <c r="S26" i="13" s="1"/>
  <c r="W56" i="14"/>
  <c r="W39" i="12"/>
  <c r="P90" i="13" s="1"/>
  <c r="S90" i="13" s="1"/>
  <c r="W38" i="12"/>
  <c r="P89" i="13" s="1"/>
  <c r="S89" i="13" s="1"/>
  <c r="W59" i="14"/>
  <c r="W37" i="12"/>
  <c r="P34" i="13" s="1"/>
  <c r="S34" i="13" s="1"/>
  <c r="W61" i="14"/>
  <c r="W18" i="12"/>
  <c r="P41" i="13" s="1"/>
  <c r="S41" i="13" s="1"/>
  <c r="W23" i="14"/>
  <c r="W17" i="12"/>
  <c r="P80" i="13" s="1"/>
  <c r="S80" i="13" s="1"/>
  <c r="W22" i="14"/>
  <c r="W16" i="12"/>
  <c r="P72" i="13" s="1"/>
  <c r="S72" i="13" s="1"/>
  <c r="W20" i="14"/>
  <c r="W25" i="14"/>
  <c r="W15" i="12"/>
  <c r="P40" i="13" s="1"/>
  <c r="S40" i="13" s="1"/>
  <c r="W14" i="12"/>
  <c r="P25" i="13" s="1"/>
  <c r="S25" i="13" s="1"/>
  <c r="W18" i="14"/>
  <c r="W13" i="12"/>
  <c r="P32" i="13" s="1"/>
  <c r="S32" i="13" s="1"/>
  <c r="W19" i="14"/>
  <c r="W27" i="14"/>
  <c r="W12" i="12"/>
  <c r="P24" i="13" s="1"/>
  <c r="S24" i="13" s="1"/>
  <c r="W30" i="14"/>
  <c r="W10" i="12"/>
  <c r="P88" i="13" s="1"/>
  <c r="S88" i="13" s="1"/>
  <c r="W25" i="12"/>
  <c r="W17" i="14"/>
  <c r="W21" i="12"/>
  <c r="P48" i="13" s="1"/>
  <c r="S48" i="13" s="1"/>
  <c r="W16" i="14"/>
  <c r="W27" i="12"/>
  <c r="W24" i="14"/>
  <c r="W23" i="12"/>
  <c r="P18" i="13" s="1"/>
  <c r="S18" i="13" s="1"/>
  <c r="W11" i="14"/>
  <c r="W11" i="12"/>
  <c r="P17" i="13" s="1"/>
  <c r="S17" i="13" s="1"/>
  <c r="W26" i="14"/>
  <c r="W28" i="14"/>
  <c r="W9" i="12"/>
  <c r="P16" i="13" s="1"/>
  <c r="S16" i="13" s="1"/>
  <c r="W15" i="14"/>
  <c r="W22" i="12"/>
  <c r="P9" i="13" s="1"/>
  <c r="S9" i="13" s="1"/>
  <c r="W29" i="14"/>
  <c r="W8" i="12"/>
  <c r="P8" i="13" s="1"/>
  <c r="S8" i="13" s="1"/>
  <c r="AN13" i="9"/>
  <c r="AK8" i="9"/>
  <c r="AM8" i="9" s="1"/>
  <c r="AN8" i="9"/>
  <c r="AK13" i="9"/>
  <c r="AM13" i="9" s="1"/>
  <c r="AN16" i="10"/>
  <c r="AK11" i="11"/>
  <c r="AM11" i="11" s="1"/>
  <c r="AN11" i="11"/>
  <c r="AK16" i="10"/>
  <c r="AM16" i="10" s="1"/>
  <c r="AN18" i="10"/>
  <c r="AK18" i="10"/>
  <c r="AM18" i="10" s="1"/>
  <c r="AK20" i="9"/>
  <c r="AM20" i="9" s="1"/>
  <c r="AK17" i="10"/>
  <c r="AM17" i="10" s="1"/>
  <c r="AN7" i="10"/>
  <c r="AN19" i="10"/>
  <c r="AK15" i="10"/>
  <c r="AM15" i="10" s="1"/>
  <c r="AN12" i="10"/>
  <c r="AK14" i="10"/>
  <c r="AM14" i="10" s="1"/>
  <c r="AN15" i="10"/>
  <c r="AN14" i="10"/>
  <c r="AK13" i="10"/>
  <c r="AM13" i="10" s="1"/>
  <c r="AK12" i="10"/>
  <c r="AM12" i="10" s="1"/>
  <c r="AK7" i="10"/>
  <c r="AM7" i="10" s="1"/>
  <c r="AN18" i="9"/>
  <c r="AN17" i="10"/>
  <c r="AK19" i="10"/>
  <c r="AM19" i="10" s="1"/>
  <c r="AN13" i="10"/>
  <c r="AK8" i="10"/>
  <c r="AM8" i="10" s="1"/>
  <c r="AN11" i="10"/>
  <c r="AN8" i="10"/>
  <c r="AK11" i="10"/>
  <c r="AM11" i="10" s="1"/>
  <c r="AN10" i="10"/>
  <c r="AN9" i="10"/>
  <c r="AN20" i="9"/>
  <c r="AK18" i="9"/>
  <c r="AM18" i="9" s="1"/>
  <c r="AN16" i="9"/>
  <c r="AK15" i="9"/>
  <c r="AM15" i="9" s="1"/>
  <c r="AK10" i="9"/>
  <c r="AM10" i="9" s="1"/>
  <c r="AN14" i="9"/>
  <c r="AK7" i="9"/>
  <c r="AM7" i="9" s="1"/>
  <c r="AN17" i="9"/>
  <c r="AK17" i="9"/>
  <c r="AM17" i="9" s="1"/>
  <c r="AN15" i="9"/>
  <c r="AK14" i="9"/>
  <c r="AM14" i="9" s="1"/>
  <c r="AN12" i="9"/>
  <c r="AN10" i="9"/>
  <c r="AN9" i="9"/>
  <c r="AK19" i="9"/>
  <c r="AM19" i="9" s="1"/>
  <c r="AN7" i="9"/>
  <c r="AK10" i="10"/>
  <c r="AM10" i="10" s="1"/>
  <c r="AK9" i="10"/>
  <c r="AM9" i="10" s="1"/>
  <c r="AK16" i="9"/>
  <c r="AM16" i="9" s="1"/>
  <c r="AN19" i="9"/>
  <c r="AK12" i="9"/>
  <c r="AM12" i="9" s="1"/>
  <c r="AK9" i="9"/>
  <c r="AM9" i="9" s="1"/>
  <c r="AK11" i="9"/>
  <c r="AM11" i="9" s="1"/>
  <c r="AN11" i="9"/>
  <c r="AK18" i="11"/>
  <c r="AM18" i="11" s="1"/>
  <c r="AN18" i="11"/>
  <c r="AK15" i="11"/>
  <c r="AM15" i="11" s="1"/>
  <c r="AK12" i="11"/>
  <c r="AM12" i="11" s="1"/>
  <c r="AN10" i="11"/>
  <c r="AK10" i="11"/>
  <c r="AM10" i="11" s="1"/>
  <c r="U20" i="10"/>
  <c r="AN15" i="3"/>
  <c r="AK15" i="3"/>
  <c r="AM15" i="3" s="1"/>
  <c r="AK14" i="3"/>
  <c r="AM14" i="3" s="1"/>
  <c r="AN14" i="3"/>
  <c r="AN19" i="11"/>
  <c r="AN16" i="11"/>
  <c r="AN15" i="11"/>
  <c r="AK14" i="11"/>
  <c r="AM14" i="11" s="1"/>
  <c r="AN12" i="11"/>
  <c r="AN9" i="11"/>
  <c r="AN8" i="11"/>
  <c r="AN7" i="11"/>
  <c r="AK19" i="11"/>
  <c r="AM19" i="11" s="1"/>
  <c r="AN17" i="11"/>
  <c r="AN14" i="11"/>
  <c r="AN13" i="11"/>
  <c r="AK9" i="11"/>
  <c r="AM9" i="11" s="1"/>
  <c r="AK8" i="11"/>
  <c r="AM8" i="11" s="1"/>
  <c r="AK7" i="11"/>
  <c r="AM7" i="11" s="1"/>
  <c r="AK17" i="11"/>
  <c r="AM17" i="11" s="1"/>
  <c r="AK16" i="11"/>
  <c r="AM16" i="11" s="1"/>
  <c r="AK13" i="11"/>
  <c r="AM13" i="11" s="1"/>
  <c r="P97" i="13" l="1"/>
  <c r="S97" i="13" s="1"/>
  <c r="P49" i="13"/>
  <c r="S49" i="13" s="1"/>
  <c r="P96" i="13"/>
  <c r="S96" i="13" s="1"/>
  <c r="P57" i="13"/>
  <c r="S57" i="13" s="1"/>
  <c r="P81" i="13"/>
  <c r="S81" i="13" s="1"/>
  <c r="P64" i="13"/>
  <c r="S64" i="13" s="1"/>
  <c r="P19" i="13"/>
  <c r="S19" i="13" s="1"/>
  <c r="U8" i="9"/>
  <c r="U13" i="9"/>
  <c r="U16" i="10"/>
  <c r="U7" i="10"/>
  <c r="U61" i="14" s="1"/>
  <c r="U18" i="10"/>
  <c r="U11" i="10"/>
  <c r="U19" i="11"/>
  <c r="U9" i="11"/>
  <c r="U9" i="10"/>
  <c r="U14" i="9"/>
  <c r="U7" i="11"/>
  <c r="U20" i="9"/>
  <c r="U16" i="9"/>
  <c r="U17" i="10"/>
  <c r="U13" i="10"/>
  <c r="U19" i="10"/>
  <c r="U15" i="10"/>
  <c r="U12" i="10"/>
  <c r="U14" i="10"/>
  <c r="U8" i="11"/>
  <c r="U18" i="9"/>
  <c r="U8" i="10"/>
  <c r="U15" i="3"/>
  <c r="U10" i="10"/>
  <c r="U17" i="9"/>
  <c r="U15" i="9"/>
  <c r="U12" i="9"/>
  <c r="U10" i="9"/>
  <c r="U7" i="9"/>
  <c r="U9" i="9"/>
  <c r="U19" i="9"/>
  <c r="U15" i="11"/>
  <c r="U11" i="9"/>
  <c r="U18" i="11"/>
  <c r="U16" i="11"/>
  <c r="U12" i="11"/>
  <c r="U10" i="11"/>
  <c r="U14" i="3"/>
  <c r="U13" i="11"/>
  <c r="U11" i="11"/>
  <c r="U17" i="11"/>
  <c r="U14" i="11"/>
  <c r="U55" i="12" l="1"/>
  <c r="U42" i="14"/>
  <c r="U54" i="12"/>
  <c r="U43" i="14"/>
  <c r="U32" i="12"/>
  <c r="U31" i="12"/>
  <c r="U8" i="14"/>
  <c r="U12" i="14"/>
  <c r="U30" i="12"/>
  <c r="U10" i="14"/>
  <c r="U29" i="12"/>
  <c r="U28" i="12"/>
  <c r="U13" i="14"/>
  <c r="U26" i="12"/>
  <c r="U9" i="14"/>
  <c r="U21" i="14"/>
  <c r="U24" i="12"/>
  <c r="U31" i="14"/>
  <c r="U20" i="12"/>
  <c r="U19" i="12"/>
  <c r="U14" i="14"/>
  <c r="U45" i="14"/>
  <c r="U46" i="12"/>
  <c r="U45" i="12"/>
  <c r="U48" i="14"/>
  <c r="U44" i="12"/>
  <c r="U54" i="14"/>
  <c r="U43" i="12"/>
  <c r="U58" i="14"/>
  <c r="U42" i="12"/>
  <c r="U57" i="14"/>
  <c r="U41" i="12"/>
  <c r="U55" i="14"/>
  <c r="U53" i="14"/>
  <c r="U40" i="12"/>
  <c r="U39" i="12"/>
  <c r="U56" i="14"/>
  <c r="U38" i="12"/>
  <c r="U59" i="14"/>
  <c r="U23" i="14"/>
  <c r="U18" i="12"/>
  <c r="U22" i="14"/>
  <c r="U17" i="12"/>
  <c r="U20" i="14"/>
  <c r="U16" i="12"/>
  <c r="U15" i="12"/>
  <c r="U25" i="14"/>
  <c r="U14" i="12"/>
  <c r="U18" i="14"/>
  <c r="U19" i="14"/>
  <c r="U13" i="12"/>
  <c r="U12" i="12"/>
  <c r="U27" i="14"/>
  <c r="U10" i="12"/>
  <c r="U30" i="14"/>
  <c r="U17" i="14"/>
  <c r="U25" i="12"/>
  <c r="U16" i="14"/>
  <c r="U21" i="12"/>
  <c r="U27" i="12"/>
  <c r="U24" i="14"/>
  <c r="U11" i="14"/>
  <c r="U23" i="12"/>
  <c r="U11" i="12"/>
  <c r="U26" i="14"/>
  <c r="U9" i="12"/>
  <c r="U28" i="14"/>
  <c r="U15" i="14"/>
  <c r="U22" i="12"/>
  <c r="U8" i="12"/>
  <c r="U29" i="14"/>
  <c r="U37" i="12"/>
  <c r="V18" i="3" l="1"/>
  <c r="S18" i="3"/>
  <c r="O18" i="3"/>
  <c r="S58" i="12" l="1"/>
  <c r="L11" i="13" s="1"/>
  <c r="S40" i="14"/>
  <c r="O58" i="12"/>
  <c r="K11" i="13" s="1"/>
  <c r="O40" i="14"/>
  <c r="V40" i="14"/>
  <c r="V58" i="12"/>
  <c r="T18" i="3"/>
  <c r="T58" i="12" l="1"/>
  <c r="M11" i="13" s="1"/>
  <c r="T40" i="14"/>
  <c r="W18" i="3"/>
  <c r="AD18" i="3"/>
  <c r="AJ18" i="3"/>
  <c r="AI18" i="3"/>
  <c r="AG18" i="3"/>
  <c r="AF18" i="3"/>
  <c r="AE18" i="3"/>
  <c r="AC18" i="3"/>
  <c r="AH18" i="3"/>
  <c r="AB18" i="3"/>
  <c r="W40" i="14" l="1"/>
  <c r="W58" i="12"/>
  <c r="P11" i="13" s="1"/>
  <c r="S11" i="13" s="1"/>
  <c r="AK18" i="3"/>
  <c r="AM18" i="3" s="1"/>
  <c r="AN18" i="3"/>
  <c r="U18" i="3" l="1"/>
  <c r="O17" i="3"/>
  <c r="S17" i="3"/>
  <c r="V17" i="3"/>
  <c r="O21" i="3"/>
  <c r="S21" i="3"/>
  <c r="V21" i="3"/>
  <c r="S57" i="12" l="1"/>
  <c r="L67" i="13" s="1"/>
  <c r="S41" i="14"/>
  <c r="O57" i="12"/>
  <c r="K67" i="13" s="1"/>
  <c r="O41" i="14"/>
  <c r="V57" i="12"/>
  <c r="V41" i="14"/>
  <c r="U58" i="12"/>
  <c r="U40" i="14"/>
  <c r="T21" i="3"/>
  <c r="W21" i="3" s="1"/>
  <c r="T17" i="3"/>
  <c r="T57" i="12" l="1"/>
  <c r="M67" i="13" s="1"/>
  <c r="T41" i="14"/>
  <c r="AE17" i="3"/>
  <c r="AH17" i="3"/>
  <c r="AJ17" i="3"/>
  <c r="AI17" i="3"/>
  <c r="AB17" i="3"/>
  <c r="W17" i="3"/>
  <c r="AE21" i="3"/>
  <c r="AF17" i="3"/>
  <c r="AJ21" i="3"/>
  <c r="AD17" i="3"/>
  <c r="AC17" i="3"/>
  <c r="AH21" i="3"/>
  <c r="AB21" i="3"/>
  <c r="AG21" i="3"/>
  <c r="AI21" i="3"/>
  <c r="AF21" i="3"/>
  <c r="AD21" i="3"/>
  <c r="AC21" i="3"/>
  <c r="AG17" i="3"/>
  <c r="W41" i="14" l="1"/>
  <c r="W57" i="12"/>
  <c r="P67" i="13" s="1"/>
  <c r="S67" i="13" s="1"/>
  <c r="AN17" i="3"/>
  <c r="AK17" i="3"/>
  <c r="AM17" i="3" s="1"/>
  <c r="AK21" i="3"/>
  <c r="AM21" i="3" s="1"/>
  <c r="AN21" i="3"/>
  <c r="U17" i="3" l="1"/>
  <c r="U21" i="3"/>
  <c r="U57" i="12" l="1"/>
  <c r="U41" i="14"/>
  <c r="AI22" i="3"/>
  <c r="AD24" i="3"/>
  <c r="V20" i="3"/>
  <c r="S20" i="3"/>
  <c r="O20" i="3"/>
  <c r="V9" i="3"/>
  <c r="S9" i="3"/>
  <c r="O9" i="3"/>
  <c r="V7" i="3"/>
  <c r="S7" i="3"/>
  <c r="O7" i="3"/>
  <c r="V13" i="3"/>
  <c r="S13" i="3"/>
  <c r="O13" i="3"/>
  <c r="V10" i="3"/>
  <c r="S10" i="3"/>
  <c r="O10" i="3"/>
  <c r="V11" i="3"/>
  <c r="S11" i="3"/>
  <c r="O11" i="3"/>
  <c r="V12" i="3"/>
  <c r="S12" i="3"/>
  <c r="O12" i="3"/>
  <c r="V8" i="3"/>
  <c r="S8" i="3"/>
  <c r="O8" i="3"/>
  <c r="S60" i="14" l="1"/>
  <c r="S53" i="12"/>
  <c r="S51" i="12"/>
  <c r="L66" i="13" s="1"/>
  <c r="S44" i="14"/>
  <c r="S50" i="12"/>
  <c r="L99" i="13" s="1"/>
  <c r="S51" i="14"/>
  <c r="S49" i="12"/>
  <c r="L59" i="13" s="1"/>
  <c r="S47" i="14"/>
  <c r="S48" i="12"/>
  <c r="L75" i="13" s="1"/>
  <c r="S50" i="14"/>
  <c r="O53" i="12"/>
  <c r="O60" i="14"/>
  <c r="O44" i="14"/>
  <c r="O51" i="12"/>
  <c r="K66" i="13" s="1"/>
  <c r="O50" i="12"/>
  <c r="K99" i="13" s="1"/>
  <c r="O51" i="14"/>
  <c r="O49" i="12"/>
  <c r="K59" i="13" s="1"/>
  <c r="O47" i="14"/>
  <c r="O48" i="12"/>
  <c r="K75" i="13" s="1"/>
  <c r="O50" i="14"/>
  <c r="V53" i="12"/>
  <c r="V60" i="14"/>
  <c r="V44" i="14"/>
  <c r="V51" i="12"/>
  <c r="V51" i="14"/>
  <c r="V50" i="12"/>
  <c r="V49" i="12"/>
  <c r="V47" i="14"/>
  <c r="V48" i="12"/>
  <c r="V50" i="14"/>
  <c r="S49" i="14"/>
  <c r="S52" i="12"/>
  <c r="L50" i="13" s="1"/>
  <c r="O52" i="12"/>
  <c r="K50" i="13" s="1"/>
  <c r="O49" i="14"/>
  <c r="V52" i="12"/>
  <c r="V49" i="14"/>
  <c r="S47" i="12"/>
  <c r="L10" i="13" s="1"/>
  <c r="S46" i="14"/>
  <c r="O47" i="12"/>
  <c r="K10" i="13" s="1"/>
  <c r="O46" i="14"/>
  <c r="V47" i="12"/>
  <c r="V46" i="14"/>
  <c r="AF22" i="3"/>
  <c r="AD22" i="3"/>
  <c r="AE22" i="3"/>
  <c r="AC22" i="3"/>
  <c r="AJ22" i="3"/>
  <c r="AC24" i="3"/>
  <c r="AJ24" i="3"/>
  <c r="AG24" i="3"/>
  <c r="AB22" i="3"/>
  <c r="AG22" i="3"/>
  <c r="AH22" i="3"/>
  <c r="AE24" i="3"/>
  <c r="AB24" i="3"/>
  <c r="AH24" i="3"/>
  <c r="AF24" i="3"/>
  <c r="AI24" i="3"/>
  <c r="T9" i="3"/>
  <c r="T12" i="3"/>
  <c r="T20" i="3"/>
  <c r="AF23" i="3"/>
  <c r="T7" i="3"/>
  <c r="T11" i="3"/>
  <c r="T10" i="3"/>
  <c r="T8" i="3"/>
  <c r="V16" i="3"/>
  <c r="V19" i="3"/>
  <c r="T60" i="14" l="1"/>
  <c r="T53" i="12"/>
  <c r="T51" i="12"/>
  <c r="M66" i="13" s="1"/>
  <c r="T44" i="14"/>
  <c r="T50" i="12"/>
  <c r="M99" i="13" s="1"/>
  <c r="T51" i="14"/>
  <c r="T47" i="14"/>
  <c r="T49" i="12"/>
  <c r="M59" i="13" s="1"/>
  <c r="T48" i="12"/>
  <c r="M75" i="13" s="1"/>
  <c r="T50" i="14"/>
  <c r="V52" i="14"/>
  <c r="V56" i="12"/>
  <c r="T52" i="12"/>
  <c r="M50" i="13" s="1"/>
  <c r="T49" i="14"/>
  <c r="T46" i="14"/>
  <c r="T47" i="12"/>
  <c r="M10" i="13" s="1"/>
  <c r="AJ13" i="3"/>
  <c r="W12" i="3"/>
  <c r="W9" i="3"/>
  <c r="W8" i="3"/>
  <c r="AG7" i="3"/>
  <c r="AE10" i="3"/>
  <c r="AD12" i="3"/>
  <c r="AC12" i="3"/>
  <c r="AJ12" i="3"/>
  <c r="AE8" i="3"/>
  <c r="AK22" i="3"/>
  <c r="AM22" i="3" s="1"/>
  <c r="AG10" i="3"/>
  <c r="AN22" i="3"/>
  <c r="AE12" i="3"/>
  <c r="AB12" i="3"/>
  <c r="AD8" i="3"/>
  <c r="AG8" i="3"/>
  <c r="AF8" i="3"/>
  <c r="AI8" i="3"/>
  <c r="AB8" i="3"/>
  <c r="AJ8" i="3"/>
  <c r="AH8" i="3"/>
  <c r="AC8" i="3"/>
  <c r="AH9" i="3"/>
  <c r="AB9" i="3"/>
  <c r="AI9" i="3"/>
  <c r="AN24" i="3"/>
  <c r="AF9" i="3"/>
  <c r="AJ9" i="3"/>
  <c r="AK24" i="3"/>
  <c r="AM24" i="3" s="1"/>
  <c r="W13" i="3"/>
  <c r="AE13" i="3"/>
  <c r="AE9" i="3"/>
  <c r="AD9" i="3"/>
  <c r="AG9" i="3"/>
  <c r="AC9" i="3"/>
  <c r="AF20" i="3"/>
  <c r="AC20" i="3"/>
  <c r="AG20" i="3"/>
  <c r="AB20" i="3"/>
  <c r="AC13" i="3"/>
  <c r="AD13" i="3"/>
  <c r="AG13" i="3"/>
  <c r="AF13" i="3"/>
  <c r="AI13" i="3"/>
  <c r="AH13" i="3"/>
  <c r="AG12" i="3"/>
  <c r="AF12" i="3"/>
  <c r="AH12" i="3"/>
  <c r="AB13" i="3"/>
  <c r="AI12" i="3"/>
  <c r="AH7" i="3"/>
  <c r="AJ7" i="3"/>
  <c r="AE20" i="3"/>
  <c r="AD20" i="3"/>
  <c r="AJ20" i="3"/>
  <c r="W20" i="3"/>
  <c r="AI20" i="3"/>
  <c r="AH20" i="3"/>
  <c r="AD23" i="3"/>
  <c r="W11" i="3"/>
  <c r="AG11" i="3"/>
  <c r="AF11" i="3"/>
  <c r="AB11" i="3"/>
  <c r="AH11" i="3"/>
  <c r="AE11" i="3"/>
  <c r="AI11" i="3"/>
  <c r="AD11" i="3"/>
  <c r="W10" i="3"/>
  <c r="AB10" i="3"/>
  <c r="AJ10" i="3"/>
  <c r="AF10" i="3"/>
  <c r="AI10" i="3"/>
  <c r="AH10" i="3"/>
  <c r="AC23" i="3"/>
  <c r="AJ23" i="3"/>
  <c r="AB23" i="3"/>
  <c r="AH23" i="3"/>
  <c r="AI23" i="3"/>
  <c r="AC7" i="3"/>
  <c r="AE7" i="3"/>
  <c r="AB7" i="3"/>
  <c r="AF7" i="3"/>
  <c r="AE23" i="3"/>
  <c r="AC11" i="3"/>
  <c r="AI7" i="3"/>
  <c r="AD10" i="3"/>
  <c r="AJ11" i="3"/>
  <c r="AG23" i="3"/>
  <c r="AC10" i="3"/>
  <c r="AD7" i="3"/>
  <c r="W7" i="3"/>
  <c r="W60" i="14" l="1"/>
  <c r="W53" i="12"/>
  <c r="W44" i="14"/>
  <c r="W51" i="12"/>
  <c r="P66" i="13" s="1"/>
  <c r="S66" i="13" s="1"/>
  <c r="W50" i="12"/>
  <c r="P99" i="13" s="1"/>
  <c r="S99" i="13" s="1"/>
  <c r="S100" i="13" s="1"/>
  <c r="W51" i="14"/>
  <c r="W49" i="12"/>
  <c r="P59" i="13" s="1"/>
  <c r="S59" i="13" s="1"/>
  <c r="W47" i="14"/>
  <c r="W48" i="12"/>
  <c r="P75" i="13" s="1"/>
  <c r="S75" i="13" s="1"/>
  <c r="W50" i="14"/>
  <c r="W52" i="12"/>
  <c r="P50" i="13" s="1"/>
  <c r="S50" i="13" s="1"/>
  <c r="W49" i="14"/>
  <c r="W47" i="12"/>
  <c r="P10" i="13" s="1"/>
  <c r="S10" i="13" s="1"/>
  <c r="W46" i="14"/>
  <c r="U24" i="3"/>
  <c r="AK8" i="3"/>
  <c r="AM8" i="3" s="1"/>
  <c r="AN8" i="3"/>
  <c r="AN9" i="3"/>
  <c r="AK9" i="3"/>
  <c r="AM9" i="3" s="1"/>
  <c r="AK13" i="3"/>
  <c r="AM13" i="3" s="1"/>
  <c r="AK20" i="3"/>
  <c r="AM20" i="3" s="1"/>
  <c r="AK12" i="3"/>
  <c r="AM12" i="3" s="1"/>
  <c r="AN20" i="3"/>
  <c r="AN12" i="3"/>
  <c r="AN13" i="3"/>
  <c r="AN23" i="3"/>
  <c r="AN7" i="3"/>
  <c r="AK23" i="3"/>
  <c r="AM23" i="3" s="1"/>
  <c r="AN11" i="3"/>
  <c r="AN10" i="3"/>
  <c r="AK10" i="3"/>
  <c r="AM10" i="3" s="1"/>
  <c r="AK7" i="3"/>
  <c r="AM7" i="3" s="1"/>
  <c r="AK11" i="3"/>
  <c r="AM11" i="3" s="1"/>
  <c r="O16" i="3"/>
  <c r="S16" i="3"/>
  <c r="O19" i="3"/>
  <c r="S19" i="3"/>
  <c r="S56" i="12" l="1"/>
  <c r="L83" i="13" s="1"/>
  <c r="S52" i="14"/>
  <c r="O52" i="14"/>
  <c r="O56" i="12"/>
  <c r="K83" i="13" s="1"/>
  <c r="Y23" i="13"/>
  <c r="B11" i="15"/>
  <c r="U9" i="3"/>
  <c r="U8" i="3"/>
  <c r="U12" i="3"/>
  <c r="U10" i="3"/>
  <c r="U11" i="3"/>
  <c r="U20" i="3"/>
  <c r="U13" i="3"/>
  <c r="U7" i="3"/>
  <c r="T16" i="3"/>
  <c r="T19" i="3"/>
  <c r="T52" i="14" l="1"/>
  <c r="T56" i="12"/>
  <c r="M83" i="13" s="1"/>
  <c r="U53" i="12"/>
  <c r="U60" i="14"/>
  <c r="U51" i="12"/>
  <c r="U44" i="14"/>
  <c r="U51" i="14"/>
  <c r="U50" i="12"/>
  <c r="U47" i="14"/>
  <c r="U49" i="12"/>
  <c r="U50" i="14"/>
  <c r="U48" i="12"/>
  <c r="U52" i="12"/>
  <c r="U49" i="14"/>
  <c r="U47" i="12"/>
  <c r="U46" i="14"/>
  <c r="W16" i="3"/>
  <c r="W19" i="3"/>
  <c r="AJ16" i="3"/>
  <c r="AB16" i="3"/>
  <c r="AD16" i="3"/>
  <c r="AG16" i="3"/>
  <c r="AI16" i="3"/>
  <c r="AE16" i="3"/>
  <c r="AC16" i="3"/>
  <c r="AF16" i="3"/>
  <c r="AH16" i="3"/>
  <c r="AD19" i="3"/>
  <c r="AI19" i="3"/>
  <c r="AC19" i="3"/>
  <c r="AJ19" i="3"/>
  <c r="AH19" i="3"/>
  <c r="AB19" i="3"/>
  <c r="AE19" i="3"/>
  <c r="AG19" i="3"/>
  <c r="AF19" i="3"/>
  <c r="W52" i="14" l="1"/>
  <c r="W56" i="12"/>
  <c r="P83" i="13" s="1"/>
  <c r="S83" i="13" s="1"/>
  <c r="AK16" i="3"/>
  <c r="AM16" i="3" s="1"/>
  <c r="AN16" i="3"/>
  <c r="AN19" i="3"/>
  <c r="AK19" i="3"/>
  <c r="AM19" i="3" s="1"/>
  <c r="U16" i="3" l="1"/>
  <c r="U19" i="3"/>
  <c r="U52" i="14" l="1"/>
  <c r="U56" i="12"/>
  <c r="S60" i="13"/>
  <c r="B17" i="15" s="1"/>
  <c r="S68" i="13"/>
  <c r="B9" i="15" s="1"/>
  <c r="S84" i="13"/>
  <c r="B15" i="15" s="1"/>
  <c r="S12" i="13"/>
  <c r="B10" i="15" s="1"/>
  <c r="S92" i="13"/>
  <c r="B20" i="15" s="1"/>
  <c r="S52" i="13"/>
  <c r="B18" i="15" s="1"/>
  <c r="S44" i="13"/>
  <c r="B13" i="15" s="1"/>
  <c r="S20" i="13"/>
  <c r="S36" i="13"/>
  <c r="B19" i="15" s="1"/>
  <c r="S28" i="13"/>
  <c r="B16" i="15" s="1"/>
  <c r="S76" i="13"/>
  <c r="B12" i="15" s="1"/>
  <c r="Y13" i="13" l="1"/>
  <c r="B14" i="15"/>
  <c r="D14" i="15" s="1"/>
  <c r="Y17" i="13"/>
  <c r="Y18" i="13"/>
  <c r="Y16" i="13"/>
  <c r="Y20" i="13"/>
  <c r="Y15" i="13"/>
  <c r="Y21" i="13"/>
  <c r="Y14" i="13"/>
  <c r="Y12" i="13"/>
  <c r="Y22" i="13"/>
  <c r="Y19" i="13"/>
  <c r="D9" i="15" l="1"/>
  <c r="D15" i="15"/>
  <c r="D13" i="15"/>
  <c r="D11" i="15"/>
  <c r="D17" i="15"/>
  <c r="D12" i="15"/>
  <c r="D19" i="15"/>
  <c r="D16" i="15"/>
  <c r="D10" i="15"/>
  <c r="D20" i="15"/>
  <c r="D18" i="15"/>
</calcChain>
</file>

<file path=xl/sharedStrings.xml><?xml version="1.0" encoding="utf-8"?>
<sst xmlns="http://schemas.openxmlformats.org/spreadsheetml/2006/main" count="868" uniqueCount="297">
  <si>
    <t>P.C.</t>
  </si>
  <si>
    <t>TOTAL</t>
  </si>
  <si>
    <t>Serie</t>
  </si>
  <si>
    <t>IWF</t>
  </si>
  <si>
    <t>NAT</t>
  </si>
  <si>
    <t>Catégorie</t>
  </si>
  <si>
    <t>Licence</t>
  </si>
  <si>
    <t>CLUB</t>
  </si>
  <si>
    <t>AN</t>
  </si>
  <si>
    <t>ARR</t>
  </si>
  <si>
    <t>EP-J</t>
  </si>
  <si>
    <t>DEBUTANT</t>
  </si>
  <si>
    <t>DEPARTEMENTAL</t>
  </si>
  <si>
    <t>REGIONAL</t>
  </si>
  <si>
    <t>INTERREGIONAL</t>
  </si>
  <si>
    <t>FEDERAL</t>
  </si>
  <si>
    <t>NATIONAL</t>
  </si>
  <si>
    <t>INTERNATIONAL B</t>
  </si>
  <si>
    <t>INTERNATIONAL A</t>
  </si>
  <si>
    <t>OLYMPIQUE</t>
  </si>
  <si>
    <t>MINIME</t>
  </si>
  <si>
    <t>CADET</t>
  </si>
  <si>
    <t>JUNIOR</t>
  </si>
  <si>
    <t>SENIOR</t>
  </si>
  <si>
    <t>Genre</t>
  </si>
  <si>
    <t>U15 M49</t>
  </si>
  <si>
    <t>U15 M55</t>
  </si>
  <si>
    <t>U15 M61</t>
  </si>
  <si>
    <t>U15 M67</t>
  </si>
  <si>
    <t>U15 M73</t>
  </si>
  <si>
    <t>U15 M81</t>
  </si>
  <si>
    <t>U15 M89</t>
  </si>
  <si>
    <t>U15 M96</t>
  </si>
  <si>
    <t>U15 M102</t>
  </si>
  <si>
    <t>U15 M&gt;102</t>
  </si>
  <si>
    <t>U17 M49</t>
  </si>
  <si>
    <t>U17 M55</t>
  </si>
  <si>
    <t>U17 M61</t>
  </si>
  <si>
    <t>U17 M67</t>
  </si>
  <si>
    <t>U17 M73</t>
  </si>
  <si>
    <t>U17 M81</t>
  </si>
  <si>
    <t>U17 M89</t>
  </si>
  <si>
    <t>U17 M96</t>
  </si>
  <si>
    <t>U17 M102</t>
  </si>
  <si>
    <t>U17 M&gt;102</t>
  </si>
  <si>
    <t>U20 M55</t>
  </si>
  <si>
    <t>U20 M61</t>
  </si>
  <si>
    <t>U20 M67</t>
  </si>
  <si>
    <t>U20 M73</t>
  </si>
  <si>
    <t>U20 M81</t>
  </si>
  <si>
    <t>U20 M89</t>
  </si>
  <si>
    <t>U20 M96</t>
  </si>
  <si>
    <t>U20 M102</t>
  </si>
  <si>
    <t>U20 M109</t>
  </si>
  <si>
    <t>U20 M&gt;109</t>
  </si>
  <si>
    <t>SE M55</t>
  </si>
  <si>
    <t>SE M61</t>
  </si>
  <si>
    <t>SE M67</t>
  </si>
  <si>
    <t>SE M73</t>
  </si>
  <si>
    <t>SE M81</t>
  </si>
  <si>
    <t>SE M89</t>
  </si>
  <si>
    <t>SE M96</t>
  </si>
  <si>
    <t>SE M102</t>
  </si>
  <si>
    <t>SE M109</t>
  </si>
  <si>
    <t>SE M&gt;109</t>
  </si>
  <si>
    <t>U15 F40</t>
  </si>
  <si>
    <t>U15 F45</t>
  </si>
  <si>
    <t>U15 F49</t>
  </si>
  <si>
    <t>U17 F55</t>
  </si>
  <si>
    <t>U15 F59</t>
  </si>
  <si>
    <t>U15 F64</t>
  </si>
  <si>
    <t>U15 F71</t>
  </si>
  <si>
    <t>U15 F76</t>
  </si>
  <si>
    <t>U15 F81</t>
  </si>
  <si>
    <t>U15 F&gt;81</t>
  </si>
  <si>
    <t>U17 F40</t>
  </si>
  <si>
    <t>U17 F45</t>
  </si>
  <si>
    <t>U15 F55</t>
  </si>
  <si>
    <t>U17 F59</t>
  </si>
  <si>
    <t>U17 F64</t>
  </si>
  <si>
    <t>U17 F71</t>
  </si>
  <si>
    <t>U17 F76</t>
  </si>
  <si>
    <t>U17 F81</t>
  </si>
  <si>
    <t>U17 F&gt;81</t>
  </si>
  <si>
    <t>U17 F49</t>
  </si>
  <si>
    <t>U20 F45</t>
  </si>
  <si>
    <t>U20 F49</t>
  </si>
  <si>
    <t>U20 F55</t>
  </si>
  <si>
    <t>U20 F59</t>
  </si>
  <si>
    <t>U20 F64</t>
  </si>
  <si>
    <t>U20 F71</t>
  </si>
  <si>
    <t>U20 F76</t>
  </si>
  <si>
    <t>U20 F81</t>
  </si>
  <si>
    <t>U20 F87</t>
  </si>
  <si>
    <t>U20 F&gt;87</t>
  </si>
  <si>
    <t>SE F45</t>
  </si>
  <si>
    <t>SE F49</t>
  </si>
  <si>
    <t>SE F55</t>
  </si>
  <si>
    <t>SE F59</t>
  </si>
  <si>
    <t>SE F64</t>
  </si>
  <si>
    <t>SE F71</t>
  </si>
  <si>
    <t>SE F76</t>
  </si>
  <si>
    <t>SE F81</t>
  </si>
  <si>
    <t>SE F87</t>
  </si>
  <si>
    <t>SE F&gt;87</t>
  </si>
  <si>
    <t>DEB</t>
  </si>
  <si>
    <t>DPT +</t>
  </si>
  <si>
    <t>REG +</t>
  </si>
  <si>
    <t>IRG +</t>
  </si>
  <si>
    <t>FED +</t>
  </si>
  <si>
    <t>NAT +</t>
  </si>
  <si>
    <t>INTB +</t>
  </si>
  <si>
    <t>INTA +</t>
  </si>
  <si>
    <t>OLY +</t>
  </si>
  <si>
    <t xml:space="preserve">DEB </t>
  </si>
  <si>
    <t>DEP +</t>
  </si>
  <si>
    <t>NON</t>
  </si>
  <si>
    <t>Categories</t>
  </si>
  <si>
    <t>Année min (inclus)</t>
  </si>
  <si>
    <t>Année max (inclus)</t>
  </si>
  <si>
    <t>U10</t>
  </si>
  <si>
    <t>U13</t>
  </si>
  <si>
    <t>U15</t>
  </si>
  <si>
    <t>U17</t>
  </si>
  <si>
    <t>U20</t>
  </si>
  <si>
    <t>SENIORS</t>
  </si>
  <si>
    <t>F</t>
  </si>
  <si>
    <t>LIGUE Hauts de France - FFHM</t>
  </si>
  <si>
    <t>COMINES</t>
  </si>
  <si>
    <t>h</t>
  </si>
  <si>
    <t>f</t>
  </si>
  <si>
    <t>Class</t>
  </si>
  <si>
    <t>CLASS</t>
  </si>
  <si>
    <t>H</t>
  </si>
  <si>
    <t>N°</t>
  </si>
  <si>
    <t>HOMMES</t>
  </si>
  <si>
    <t>FEMMES</t>
  </si>
  <si>
    <t>Résultats individuels</t>
  </si>
  <si>
    <t>HOMMES ET FEMMES</t>
  </si>
  <si>
    <t>Résultats Equipes</t>
  </si>
  <si>
    <t>Noms et prenoms</t>
  </si>
  <si>
    <t>Résultats filles</t>
  </si>
  <si>
    <t>Résultats garçons</t>
  </si>
  <si>
    <t>Points pour l'équipe</t>
  </si>
  <si>
    <t>pts</t>
  </si>
  <si>
    <t>Total</t>
  </si>
  <si>
    <t>Composition</t>
  </si>
  <si>
    <t>class</t>
  </si>
  <si>
    <t>CLASSEMENT</t>
  </si>
  <si>
    <t>PTS</t>
  </si>
  <si>
    <t>Classement</t>
  </si>
  <si>
    <t>points pour l'équipe</t>
  </si>
  <si>
    <t>classement</t>
  </si>
  <si>
    <t>points</t>
  </si>
  <si>
    <t>Arbitre 1</t>
  </si>
  <si>
    <t>Arbitre 2</t>
  </si>
  <si>
    <t>Arbitre 3</t>
  </si>
  <si>
    <t>Nord</t>
  </si>
  <si>
    <t>Belgique 2</t>
  </si>
  <si>
    <t>Franconville</t>
  </si>
  <si>
    <t>Belgique 1</t>
  </si>
  <si>
    <t xml:space="preserve">Belgique 2 </t>
  </si>
  <si>
    <t>Contrôleur Technique</t>
  </si>
  <si>
    <t>Secrétaire</t>
  </si>
  <si>
    <t>PLATEAU 3 : 28ème Mémorial Decottignies pesée 13h30, présentation:14H45</t>
  </si>
  <si>
    <t>RICHEZ</t>
  </si>
  <si>
    <t>Albane</t>
  </si>
  <si>
    <t>TREVILLOT</t>
  </si>
  <si>
    <t>Jeanne</t>
  </si>
  <si>
    <t>Sélection France</t>
  </si>
  <si>
    <t>NSEGMA</t>
  </si>
  <si>
    <t>Maelle</t>
  </si>
  <si>
    <t>Espoir cominois</t>
  </si>
  <si>
    <t>BEAUGER</t>
  </si>
  <si>
    <t>Clara</t>
  </si>
  <si>
    <t>Chloé</t>
  </si>
  <si>
    <t>LESAGE</t>
  </si>
  <si>
    <t>Pauline</t>
  </si>
  <si>
    <t>Pas de Calais</t>
  </si>
  <si>
    <t>BIZEAU</t>
  </si>
  <si>
    <t>Alexine</t>
  </si>
  <si>
    <t>Cle Amiens</t>
  </si>
  <si>
    <t>PHAM</t>
  </si>
  <si>
    <t>Lee na</t>
  </si>
  <si>
    <t>RICHEVAUX</t>
  </si>
  <si>
    <t>Jade</t>
  </si>
  <si>
    <t>SAINT MAXENT</t>
  </si>
  <si>
    <t>Manon</t>
  </si>
  <si>
    <t>Comines</t>
  </si>
  <si>
    <t>BOKALO</t>
  </si>
  <si>
    <t>Antonina</t>
  </si>
  <si>
    <t>Ukraine</t>
  </si>
  <si>
    <t>BOUKHARTA</t>
  </si>
  <si>
    <t>Zakaria</t>
  </si>
  <si>
    <t>DEHANE</t>
  </si>
  <si>
    <t>Raphael</t>
  </si>
  <si>
    <t>Daniel</t>
  </si>
  <si>
    <t>BARTHELEMY</t>
  </si>
  <si>
    <t>Florent</t>
  </si>
  <si>
    <t>BEYER</t>
  </si>
  <si>
    <t>Antoine</t>
  </si>
  <si>
    <t>GELE</t>
  </si>
  <si>
    <t>Ulysse</t>
  </si>
  <si>
    <t>WELLING</t>
  </si>
  <si>
    <t>Jonas</t>
  </si>
  <si>
    <t>Waalsport Hollande</t>
  </si>
  <si>
    <t>KUZOVLEV</t>
  </si>
  <si>
    <t>Oleksandr</t>
  </si>
  <si>
    <t>SOM</t>
  </si>
  <si>
    <t>Hanzo</t>
  </si>
  <si>
    <t>AYDOGAN</t>
  </si>
  <si>
    <t>Atilla</t>
  </si>
  <si>
    <t>PEDRAK</t>
  </si>
  <si>
    <t>Benjamin</t>
  </si>
  <si>
    <t>ESTEOULLE</t>
  </si>
  <si>
    <t>ROUY</t>
  </si>
  <si>
    <t>Ilona</t>
  </si>
  <si>
    <t>COFFEY-O'CONNOR</t>
  </si>
  <si>
    <t>Molly</t>
  </si>
  <si>
    <t>Irlande</t>
  </si>
  <si>
    <t>BOCQUET</t>
  </si>
  <si>
    <t>Ambre</t>
  </si>
  <si>
    <t>ROUSSELLE</t>
  </si>
  <si>
    <t>Julie</t>
  </si>
  <si>
    <t>MEENAN</t>
  </si>
  <si>
    <t>Abby</t>
  </si>
  <si>
    <t>VANDENABEELE</t>
  </si>
  <si>
    <t>Annelien</t>
  </si>
  <si>
    <t>MYSHOVETS</t>
  </si>
  <si>
    <t>Sofia</t>
  </si>
  <si>
    <t>VAN BEERS</t>
  </si>
  <si>
    <t>Roos</t>
  </si>
  <si>
    <t>TIMMERSMANS</t>
  </si>
  <si>
    <t>Myrthe</t>
  </si>
  <si>
    <t>DE KONING</t>
  </si>
  <si>
    <t>Joyce</t>
  </si>
  <si>
    <t>LAGROU</t>
  </si>
  <si>
    <t>BUYSSHAERT</t>
  </si>
  <si>
    <t>Tristan</t>
  </si>
  <si>
    <t>COUCHARD</t>
  </si>
  <si>
    <t>Robin</t>
  </si>
  <si>
    <t>DE HOOP</t>
  </si>
  <si>
    <t>Tom</t>
  </si>
  <si>
    <t>PETERS</t>
  </si>
  <si>
    <t>Loric</t>
  </si>
  <si>
    <t>KEARNEY</t>
  </si>
  <si>
    <t>Jack</t>
  </si>
  <si>
    <t>USA</t>
  </si>
  <si>
    <t>COLOMBO</t>
  </si>
  <si>
    <t>Ludwig</t>
  </si>
  <si>
    <t>COLIN</t>
  </si>
  <si>
    <t>Thomas</t>
  </si>
  <si>
    <t>SHOLOMINSKYI</t>
  </si>
  <si>
    <t>Vitalii</t>
  </si>
  <si>
    <t>SUNGU</t>
  </si>
  <si>
    <t>Burak</t>
  </si>
  <si>
    <t>IMADOUCHENE</t>
  </si>
  <si>
    <t>Romain</t>
  </si>
  <si>
    <r>
      <t xml:space="preserve">PLATEAU 4 : 28ème Mémorial Decottignies </t>
    </r>
    <r>
      <rPr>
        <b/>
        <sz val="16"/>
        <color rgb="FFFF0000"/>
        <rFont val="Arial"/>
        <family val="2"/>
      </rPr>
      <t>pesée 15h15</t>
    </r>
    <r>
      <rPr>
        <b/>
        <sz val="16"/>
        <rFont val="Arial"/>
        <family val="2"/>
      </rPr>
      <t>, présentation: 17H15</t>
    </r>
  </si>
  <si>
    <r>
      <t xml:space="preserve">PLATEAU 1 : 28ème Mémorial Decottignies </t>
    </r>
    <r>
      <rPr>
        <b/>
        <sz val="16"/>
        <color rgb="FFFF0000"/>
        <rFont val="Arial"/>
        <family val="2"/>
      </rPr>
      <t>pesée 9h</t>
    </r>
    <r>
      <rPr>
        <b/>
        <sz val="16"/>
        <rFont val="Arial"/>
        <family val="2"/>
      </rPr>
      <t xml:space="preserve"> présentation: 10h15</t>
    </r>
  </si>
  <si>
    <t>CORGIAT BONDON</t>
  </si>
  <si>
    <t>Maelys</t>
  </si>
  <si>
    <r>
      <t xml:space="preserve">                PLATEAU 2 : 28ème Mémorial Decottignies </t>
    </r>
    <r>
      <rPr>
        <b/>
        <sz val="16"/>
        <color rgb="FFFF0000"/>
        <rFont val="Arial"/>
        <family val="2"/>
      </rPr>
      <t>pesée 10h15</t>
    </r>
    <r>
      <rPr>
        <b/>
        <sz val="16"/>
        <rFont val="Arial"/>
        <family val="2"/>
      </rPr>
      <t>, Présentation: 12H15</t>
    </r>
  </si>
  <si>
    <r>
      <t xml:space="preserve">PLATEAU 3 : 28ème Mémorial Decottignies </t>
    </r>
    <r>
      <rPr>
        <b/>
        <sz val="16"/>
        <color rgb="FFFF0000"/>
        <rFont val="Arial"/>
        <family val="2"/>
      </rPr>
      <t>pesée 12h30</t>
    </r>
    <r>
      <rPr>
        <b/>
        <sz val="16"/>
        <rFont val="Arial"/>
        <family val="2"/>
      </rPr>
      <t>, Présentation: 14H30</t>
    </r>
  </si>
  <si>
    <t>PAPA Jc</t>
  </si>
  <si>
    <t>JAN Dominique</t>
  </si>
  <si>
    <t>RIQUIER D</t>
  </si>
  <si>
    <t>LOQUET A</t>
  </si>
  <si>
    <t>BUYSCHAERT C</t>
  </si>
  <si>
    <t>FONTENELLE L</t>
  </si>
  <si>
    <t>FR</t>
  </si>
  <si>
    <t>UKR</t>
  </si>
  <si>
    <t>HOL</t>
  </si>
  <si>
    <t>BEL</t>
  </si>
  <si>
    <t>IRL</t>
  </si>
  <si>
    <t>28ème Mémorial Decottignies</t>
  </si>
  <si>
    <t>FONTENELLE Ludovic</t>
  </si>
  <si>
    <t>U15 F44</t>
  </si>
  <si>
    <t>U17 F44</t>
  </si>
  <si>
    <t>U20 F48</t>
  </si>
  <si>
    <t>SE F48</t>
  </si>
  <si>
    <t>U17 F48</t>
  </si>
  <si>
    <t>U15 F48</t>
  </si>
  <si>
    <t>u15</t>
  </si>
  <si>
    <t>u17</t>
  </si>
  <si>
    <t>U15 F53</t>
  </si>
  <si>
    <t>U17 F53</t>
  </si>
  <si>
    <t>U20 F53</t>
  </si>
  <si>
    <t>SE F53</t>
  </si>
  <si>
    <t>LUBIN</t>
  </si>
  <si>
    <t>Darnley</t>
  </si>
  <si>
    <t>WILL</t>
  </si>
  <si>
    <t>Said</t>
  </si>
  <si>
    <t>DEFRANCE J-C</t>
  </si>
  <si>
    <t>RIQUIER Daniel</t>
  </si>
  <si>
    <t>Ilke</t>
  </si>
  <si>
    <t>Reynders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</si>
</sst>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"/>
    <numFmt numFmtId="166" formatCode="yy"/>
    <numFmt numFmtId="167" formatCode="[$-40C]d\-mmm\-yy;@"/>
    <numFmt numFmtId="168" formatCode="0_ ;[Red]\-0\ "/>
    <numFmt numFmtId="169" formatCode="dd/mm/yy;@"/>
    <numFmt numFmtId="170" formatCode="[$-40C]dd\-mmm\-yy;@"/>
    <numFmt numFmtId="171" formatCode="0.0000"/>
  </numFmts>
  <fonts count="49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8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indexed="9"/>
      <name val="Arial"/>
      <family val="2"/>
    </font>
    <font>
      <b/>
      <sz val="18"/>
      <name val="Arial"/>
      <family val="2"/>
    </font>
    <font>
      <b/>
      <sz val="11"/>
      <color indexed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8"/>
      <color theme="5" tint="-0.249977111117893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u/>
      <sz val="18"/>
      <color rgb="FF00B050"/>
      <name val="Arial"/>
      <family val="2"/>
    </font>
    <font>
      <b/>
      <i/>
      <sz val="10"/>
      <color rgb="FF0000FF"/>
      <name val="Arial"/>
      <family val="2"/>
    </font>
    <font>
      <b/>
      <i/>
      <sz val="11"/>
      <color rgb="FF0000FF"/>
      <name val="Arial"/>
      <family val="2"/>
    </font>
    <font>
      <b/>
      <sz val="10"/>
      <color theme="9" tint="-0.499984740745262"/>
      <name val="Arial"/>
      <family val="2"/>
    </font>
    <font>
      <b/>
      <sz val="11"/>
      <color theme="9" tint="-0.499984740745262"/>
      <name val="Arial"/>
      <family val="2"/>
    </font>
    <font>
      <b/>
      <sz val="8"/>
      <color rgb="FF7030A0"/>
      <name val="Arial"/>
      <family val="2"/>
    </font>
    <font>
      <b/>
      <i/>
      <sz val="10"/>
      <color rgb="FF00B050"/>
      <name val="Arial"/>
      <family val="2"/>
    </font>
    <font>
      <b/>
      <i/>
      <sz val="16"/>
      <name val="Arial"/>
      <family val="2"/>
    </font>
    <font>
      <b/>
      <i/>
      <sz val="11"/>
      <color rgb="FF00B050"/>
      <name val="Arial"/>
      <family val="2"/>
    </font>
    <font>
      <b/>
      <sz val="12"/>
      <color rgb="FFC00000"/>
      <name val="Arial"/>
      <family val="2"/>
    </font>
    <font>
      <b/>
      <sz val="12"/>
      <name val="Arial"/>
      <family val="2"/>
    </font>
    <font>
      <b/>
      <sz val="6"/>
      <name val="Arial"/>
      <family val="2"/>
    </font>
    <font>
      <b/>
      <sz val="10"/>
      <color rgb="FF7030A0"/>
      <name val="Arial"/>
      <family val="2"/>
    </font>
    <font>
      <sz val="14"/>
      <name val="Arial"/>
      <family val="2"/>
    </font>
    <font>
      <b/>
      <sz val="12"/>
      <color theme="9" tint="-0.499984740745262"/>
      <name val="Arial"/>
      <family val="2"/>
    </font>
    <font>
      <b/>
      <sz val="12"/>
      <color rgb="FF7030A0"/>
      <name val="Arial"/>
      <family val="2"/>
    </font>
    <font>
      <b/>
      <i/>
      <sz val="12"/>
      <color rgb="FF0000FF"/>
      <name val="Arial"/>
      <family val="2"/>
    </font>
    <font>
      <b/>
      <i/>
      <sz val="12"/>
      <color rgb="FF00B050"/>
      <name val="Arial"/>
      <family val="2"/>
    </font>
    <font>
      <b/>
      <i/>
      <sz val="12"/>
      <name val="Arial"/>
      <family val="2"/>
    </font>
    <font>
      <b/>
      <sz val="14"/>
      <color rgb="FFFF0000"/>
      <name val="Arial"/>
      <family val="2"/>
    </font>
    <font>
      <sz val="24"/>
      <name val="Algerian"/>
      <family val="5"/>
    </font>
    <font>
      <sz val="16"/>
      <name val="Arial"/>
      <family val="2"/>
    </font>
    <font>
      <b/>
      <i/>
      <sz val="18"/>
      <color rgb="FF00B050"/>
      <name val="Arial"/>
      <family val="2"/>
    </font>
    <font>
      <sz val="18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3"/>
      <name val="Arial"/>
      <family val="2"/>
    </font>
    <font>
      <b/>
      <sz val="10"/>
      <color theme="3"/>
      <name val="Arial"/>
      <family val="2"/>
    </font>
    <font>
      <sz val="12"/>
      <name val="Arial"/>
      <family val="2"/>
    </font>
    <font>
      <sz val="12"/>
      <color theme="9" tint="-0.499984740745262"/>
      <name val="Arial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sz val="8"/>
      <name val="Arial"/>
    </font>
    <font>
      <sz val="1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6">
    <xf numFmtId="0" fontId="0" fillId="0" borderId="0" xfId="0"/>
    <xf numFmtId="0" fontId="1" fillId="2" borderId="0" xfId="0" applyFont="1" applyFill="1" applyAlignment="1" applyProtection="1">
      <alignment vertical="center"/>
      <protection locked="0" hidden="1"/>
    </xf>
    <xf numFmtId="166" fontId="1" fillId="2" borderId="0" xfId="0" applyNumberFormat="1" applyFont="1" applyFill="1" applyAlignment="1" applyProtection="1">
      <alignment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textRotation="90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166" fontId="2" fillId="2" borderId="0" xfId="0" applyNumberFormat="1" applyFont="1" applyFill="1" applyAlignment="1" applyProtection="1">
      <alignment horizontal="center" vertical="center"/>
      <protection locked="0"/>
    </xf>
    <xf numFmtId="1" fontId="7" fillId="2" borderId="0" xfId="0" applyNumberFormat="1" applyFont="1" applyFill="1" applyAlignment="1" applyProtection="1">
      <alignment horizontal="center" vertical="center"/>
      <protection locked="0"/>
    </xf>
    <xf numFmtId="1" fontId="7" fillId="2" borderId="0" xfId="0" applyNumberFormat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/>
    </xf>
    <xf numFmtId="0" fontId="11" fillId="10" borderId="0" xfId="0" applyFont="1" applyFill="1"/>
    <xf numFmtId="0" fontId="10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3" borderId="0" xfId="0" applyFont="1" applyFill="1" applyAlignment="1" applyProtection="1">
      <alignment vertical="center"/>
      <protection locked="0" hidden="1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 hidden="1"/>
    </xf>
    <xf numFmtId="2" fontId="0" fillId="0" borderId="0" xfId="0" applyNumberFormat="1"/>
    <xf numFmtId="1" fontId="0" fillId="0" borderId="0" xfId="0" applyNumberFormat="1"/>
    <xf numFmtId="0" fontId="1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3" fillId="0" borderId="0" xfId="0" applyFont="1"/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0" fillId="9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 applyProtection="1">
      <alignment horizontal="center" vertical="center"/>
      <protection locked="0" hidden="1"/>
    </xf>
    <xf numFmtId="0" fontId="2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 hidden="1"/>
    </xf>
    <xf numFmtId="169" fontId="1" fillId="2" borderId="0" xfId="0" applyNumberFormat="1" applyFont="1" applyFill="1" applyAlignment="1" applyProtection="1">
      <alignment horizontal="center" vertical="center"/>
      <protection locked="0" hidden="1"/>
    </xf>
    <xf numFmtId="0" fontId="16" fillId="2" borderId="0" xfId="0" applyFont="1" applyFill="1" applyAlignment="1" applyProtection="1">
      <alignment vertical="center"/>
      <protection locked="0" hidden="1"/>
    </xf>
    <xf numFmtId="164" fontId="17" fillId="2" borderId="0" xfId="0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 hidden="1"/>
    </xf>
    <xf numFmtId="0" fontId="19" fillId="2" borderId="0" xfId="0" applyFont="1" applyFill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0" fillId="2" borderId="0" xfId="0" applyFont="1" applyFill="1" applyAlignment="1" applyProtection="1">
      <alignment vertical="center"/>
      <protection locked="0" hidden="1"/>
    </xf>
    <xf numFmtId="0" fontId="20" fillId="2" borderId="0" xfId="0" applyFont="1" applyFill="1" applyAlignment="1" applyProtection="1">
      <alignment horizontal="center" vertical="center"/>
      <protection locked="0"/>
    </xf>
    <xf numFmtId="2" fontId="21" fillId="2" borderId="0" xfId="0" applyNumberFormat="1" applyFont="1" applyFill="1" applyAlignment="1" applyProtection="1">
      <alignment vertical="center"/>
      <protection locked="0" hidden="1"/>
    </xf>
    <xf numFmtId="0" fontId="21" fillId="2" borderId="0" xfId="0" applyFont="1" applyFill="1" applyAlignment="1" applyProtection="1">
      <alignment vertical="center"/>
      <protection locked="0" hidden="1"/>
    </xf>
    <xf numFmtId="0" fontId="22" fillId="3" borderId="5" xfId="0" applyFont="1" applyFill="1" applyBorder="1" applyAlignment="1">
      <alignment vertical="center"/>
    </xf>
    <xf numFmtId="165" fontId="23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 applyProtection="1">
      <alignment vertical="center"/>
      <protection locked="0" hidden="1"/>
    </xf>
    <xf numFmtId="164" fontId="24" fillId="2" borderId="0" xfId="0" applyNumberFormat="1" applyFont="1" applyFill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 hidden="1"/>
    </xf>
    <xf numFmtId="0" fontId="2" fillId="2" borderId="9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 applyProtection="1">
      <alignment horizontal="center" vertical="center"/>
      <protection locked="0"/>
    </xf>
    <xf numFmtId="168" fontId="4" fillId="2" borderId="11" xfId="0" applyNumberFormat="1" applyFont="1" applyFill="1" applyBorder="1" applyAlignment="1" applyProtection="1">
      <alignment horizontal="center" vertical="center"/>
      <protection locked="0"/>
    </xf>
    <xf numFmtId="1" fontId="15" fillId="3" borderId="12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 hidden="1"/>
    </xf>
    <xf numFmtId="170" fontId="2" fillId="2" borderId="7" xfId="0" applyNumberFormat="1" applyFont="1" applyFill="1" applyBorder="1" applyAlignment="1" applyProtection="1">
      <alignment horizontal="center" vertical="center"/>
      <protection locked="0" hidden="1"/>
    </xf>
    <xf numFmtId="170" fontId="2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1" fillId="3" borderId="10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" fontId="15" fillId="3" borderId="20" xfId="0" applyNumberFormat="1" applyFont="1" applyFill="1" applyBorder="1" applyAlignment="1">
      <alignment horizontal="center" vertical="center"/>
    </xf>
    <xf numFmtId="1" fontId="12" fillId="2" borderId="21" xfId="0" applyNumberFormat="1" applyFont="1" applyFill="1" applyBorder="1" applyAlignment="1">
      <alignment horizontal="center" vertical="center"/>
    </xf>
    <xf numFmtId="0" fontId="23" fillId="2" borderId="16" xfId="0" quotePrefix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6" fillId="11" borderId="1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textRotation="90"/>
    </xf>
    <xf numFmtId="0" fontId="2" fillId="2" borderId="23" xfId="0" applyFont="1" applyFill="1" applyBorder="1" applyAlignment="1">
      <alignment vertical="center"/>
    </xf>
    <xf numFmtId="0" fontId="24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 applyProtection="1">
      <alignment horizontal="left" vertical="center"/>
      <protection locked="0"/>
    </xf>
    <xf numFmtId="166" fontId="19" fillId="2" borderId="23" xfId="0" applyNumberFormat="1" applyFont="1" applyFill="1" applyBorder="1" applyAlignment="1" applyProtection="1">
      <alignment horizontal="center" vertical="center"/>
      <protection locked="0"/>
    </xf>
    <xf numFmtId="0" fontId="20" fillId="2" borderId="23" xfId="0" applyFont="1" applyFill="1" applyBorder="1" applyAlignment="1" applyProtection="1">
      <alignment horizontal="center" vertical="center"/>
      <protection locked="0"/>
    </xf>
    <xf numFmtId="164" fontId="2" fillId="2" borderId="23" xfId="0" applyNumberFormat="1" applyFont="1" applyFill="1" applyBorder="1" applyAlignment="1" applyProtection="1">
      <alignment horizontal="center" vertical="center"/>
      <protection locked="0"/>
    </xf>
    <xf numFmtId="164" fontId="17" fillId="2" borderId="23" xfId="0" applyNumberFormat="1" applyFont="1" applyFill="1" applyBorder="1" applyAlignment="1" applyProtection="1">
      <alignment vertical="center"/>
      <protection locked="0"/>
    </xf>
    <xf numFmtId="1" fontId="7" fillId="2" borderId="23" xfId="0" applyNumberFormat="1" applyFont="1" applyFill="1" applyBorder="1" applyAlignment="1" applyProtection="1">
      <alignment horizontal="center" vertical="center"/>
      <protection locked="0"/>
    </xf>
    <xf numFmtId="1" fontId="7" fillId="2" borderId="23" xfId="0" applyNumberFormat="1" applyFont="1" applyFill="1" applyBorder="1" applyAlignment="1">
      <alignment horizontal="center" vertical="center"/>
    </xf>
    <xf numFmtId="165" fontId="23" fillId="2" borderId="23" xfId="0" applyNumberFormat="1" applyFont="1" applyFill="1" applyBorder="1" applyAlignment="1">
      <alignment horizontal="center" vertical="center"/>
    </xf>
    <xf numFmtId="165" fontId="2" fillId="2" borderId="24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49" fontId="24" fillId="2" borderId="27" xfId="0" applyNumberFormat="1" applyFont="1" applyFill="1" applyBorder="1" applyAlignment="1" applyProtection="1">
      <alignment horizontal="center" vertical="center"/>
      <protection locked="0"/>
    </xf>
    <xf numFmtId="164" fontId="2" fillId="2" borderId="27" xfId="0" applyNumberFormat="1" applyFont="1" applyFill="1" applyBorder="1" applyAlignment="1" applyProtection="1">
      <alignment horizontal="center" vertical="center"/>
      <protection locked="0"/>
    </xf>
    <xf numFmtId="1" fontId="19" fillId="2" borderId="27" xfId="0" applyNumberFormat="1" applyFont="1" applyFill="1" applyBorder="1" applyAlignment="1" applyProtection="1">
      <alignment horizontal="center" vertical="center"/>
      <protection locked="0"/>
    </xf>
    <xf numFmtId="2" fontId="17" fillId="2" borderId="29" xfId="0" applyNumberFormat="1" applyFont="1" applyFill="1" applyBorder="1" applyAlignment="1" applyProtection="1">
      <alignment horizontal="center" vertical="center"/>
      <protection locked="0"/>
    </xf>
    <xf numFmtId="1" fontId="15" fillId="3" borderId="32" xfId="0" applyNumberFormat="1" applyFont="1" applyFill="1" applyBorder="1" applyAlignment="1">
      <alignment horizontal="center" vertical="center"/>
    </xf>
    <xf numFmtId="1" fontId="12" fillId="2" borderId="33" xfId="0" applyNumberFormat="1" applyFont="1" applyFill="1" applyBorder="1" applyAlignment="1">
      <alignment horizontal="center" vertical="center"/>
    </xf>
    <xf numFmtId="0" fontId="23" fillId="2" borderId="27" xfId="0" quotePrefix="1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2" fontId="8" fillId="2" borderId="29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7" fillId="2" borderId="27" xfId="0" applyFont="1" applyFill="1" applyBorder="1" applyAlignment="1" applyProtection="1">
      <alignment horizontal="center" vertical="center"/>
      <protection locked="0"/>
    </xf>
    <xf numFmtId="168" fontId="4" fillId="0" borderId="30" xfId="0" applyNumberFormat="1" applyFont="1" applyBorder="1" applyAlignment="1" applyProtection="1">
      <alignment horizontal="center" vertical="center"/>
      <protection locked="0"/>
    </xf>
    <xf numFmtId="168" fontId="4" fillId="0" borderId="31" xfId="0" applyNumberFormat="1" applyFont="1" applyBorder="1" applyAlignment="1" applyProtection="1">
      <alignment horizontal="center" vertical="center"/>
      <protection locked="0"/>
    </xf>
    <xf numFmtId="164" fontId="3" fillId="0" borderId="28" xfId="0" applyNumberFormat="1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>
      <alignment horizontal="center" vertical="center"/>
    </xf>
    <xf numFmtId="164" fontId="2" fillId="2" borderId="16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Border="1" applyAlignment="1" applyProtection="1">
      <alignment horizontal="left" vertical="center"/>
      <protection locked="0"/>
    </xf>
    <xf numFmtId="1" fontId="19" fillId="2" borderId="16" xfId="0" applyNumberFormat="1" applyFont="1" applyFill="1" applyBorder="1" applyAlignment="1" applyProtection="1">
      <alignment horizontal="center" vertical="center"/>
      <protection locked="0"/>
    </xf>
    <xf numFmtId="2" fontId="17" fillId="2" borderId="17" xfId="0" applyNumberFormat="1" applyFont="1" applyFill="1" applyBorder="1" applyAlignment="1" applyProtection="1">
      <alignment horizontal="center" vertical="center"/>
      <protection locked="0"/>
    </xf>
    <xf numFmtId="168" fontId="4" fillId="0" borderId="18" xfId="0" applyNumberFormat="1" applyFont="1" applyBorder="1" applyAlignment="1" applyProtection="1">
      <alignment horizontal="center" vertical="center"/>
      <protection locked="0"/>
    </xf>
    <xf numFmtId="168" fontId="4" fillId="0" borderId="19" xfId="0" applyNumberFormat="1" applyFont="1" applyBorder="1" applyAlignment="1" applyProtection="1">
      <alignment horizontal="center" vertical="center"/>
      <protection locked="0"/>
    </xf>
    <xf numFmtId="0" fontId="23" fillId="3" borderId="16" xfId="0" applyFont="1" applyFill="1" applyBorder="1" applyAlignment="1">
      <alignment horizontal="center" vertical="center"/>
    </xf>
    <xf numFmtId="2" fontId="8" fillId="2" borderId="17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9" fontId="24" fillId="4" borderId="7" xfId="0" applyNumberFormat="1" applyFont="1" applyFill="1" applyBorder="1" applyAlignment="1" applyProtection="1">
      <alignment horizontal="center" vertical="center"/>
      <protection locked="0"/>
    </xf>
    <xf numFmtId="164" fontId="2" fillId="4" borderId="7" xfId="0" applyNumberFormat="1" applyFont="1" applyFill="1" applyBorder="1" applyAlignment="1" applyProtection="1">
      <alignment horizontal="center" vertical="center"/>
      <protection locked="0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1" fontId="19" fillId="4" borderId="7" xfId="0" applyNumberFormat="1" applyFont="1" applyFill="1" applyBorder="1" applyAlignment="1" applyProtection="1">
      <alignment horizontal="center" vertical="center"/>
      <protection locked="0"/>
    </xf>
    <xf numFmtId="0" fontId="28" fillId="4" borderId="7" xfId="0" applyFont="1" applyFill="1" applyBorder="1" applyAlignment="1" applyProtection="1">
      <alignment horizontal="center" vertical="center"/>
      <protection locked="0"/>
    </xf>
    <xf numFmtId="2" fontId="17" fillId="4" borderId="7" xfId="0" applyNumberFormat="1" applyFont="1" applyFill="1" applyBorder="1" applyAlignment="1" applyProtection="1">
      <alignment horizontal="center" vertical="center"/>
      <protection locked="0"/>
    </xf>
    <xf numFmtId="168" fontId="4" fillId="4" borderId="36" xfId="0" applyNumberFormat="1" applyFont="1" applyFill="1" applyBorder="1" applyAlignment="1" applyProtection="1">
      <alignment horizontal="center" vertical="center"/>
      <protection locked="0"/>
    </xf>
    <xf numFmtId="168" fontId="4" fillId="4" borderId="7" xfId="0" applyNumberFormat="1" applyFont="1" applyFill="1" applyBorder="1" applyAlignment="1" applyProtection="1">
      <alignment horizontal="center" vertical="center"/>
      <protection locked="0"/>
    </xf>
    <xf numFmtId="1" fontId="15" fillId="4" borderId="7" xfId="0" applyNumberFormat="1" applyFont="1" applyFill="1" applyBorder="1" applyAlignment="1">
      <alignment horizontal="center" vertical="center"/>
    </xf>
    <xf numFmtId="1" fontId="12" fillId="4" borderId="36" xfId="0" applyNumberFormat="1" applyFont="1" applyFill="1" applyBorder="1" applyAlignment="1">
      <alignment horizontal="center" vertical="center"/>
    </xf>
    <xf numFmtId="0" fontId="23" fillId="4" borderId="7" xfId="0" quotePrefix="1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2" fontId="8" fillId="4" borderId="7" xfId="0" applyNumberFormat="1" applyFont="1" applyFill="1" applyBorder="1" applyAlignment="1">
      <alignment horizontal="center" vertical="center"/>
    </xf>
    <xf numFmtId="0" fontId="25" fillId="2" borderId="34" xfId="0" applyFont="1" applyFill="1" applyBorder="1" applyAlignment="1" applyProtection="1">
      <alignment vertical="center"/>
      <protection locked="0" hidden="1"/>
    </xf>
    <xf numFmtId="0" fontId="25" fillId="2" borderId="34" xfId="0" applyFont="1" applyFill="1" applyBorder="1" applyAlignment="1" applyProtection="1">
      <alignment horizontal="center" vertical="center"/>
      <protection locked="0" hidden="1"/>
    </xf>
    <xf numFmtId="0" fontId="1" fillId="2" borderId="34" xfId="0" applyFont="1" applyFill="1" applyBorder="1" applyAlignment="1" applyProtection="1">
      <alignment vertical="center"/>
      <protection locked="0" hidden="1"/>
    </xf>
    <xf numFmtId="0" fontId="25" fillId="2" borderId="38" xfId="0" applyFont="1" applyFill="1" applyBorder="1" applyAlignment="1" applyProtection="1">
      <alignment horizontal="right" vertical="center"/>
      <protection locked="0" hidden="1"/>
    </xf>
    <xf numFmtId="0" fontId="25" fillId="2" borderId="39" xfId="0" applyFont="1" applyFill="1" applyBorder="1" applyAlignment="1" applyProtection="1">
      <alignment horizontal="left" vertical="center"/>
      <protection locked="0" hidden="1"/>
    </xf>
    <xf numFmtId="0" fontId="33" fillId="2" borderId="34" xfId="0" applyFont="1" applyFill="1" applyBorder="1" applyAlignment="1" applyProtection="1">
      <alignment vertical="center"/>
      <protection locked="0" hidden="1"/>
    </xf>
    <xf numFmtId="0" fontId="25" fillId="2" borderId="40" xfId="0" applyFont="1" applyFill="1" applyBorder="1" applyAlignment="1" applyProtection="1">
      <alignment horizontal="right" vertical="center"/>
      <protection locked="0" hidden="1"/>
    </xf>
    <xf numFmtId="0" fontId="25" fillId="2" borderId="41" xfId="0" applyFont="1" applyFill="1" applyBorder="1" applyAlignment="1" applyProtection="1">
      <alignment horizontal="left" vertical="center"/>
      <protection locked="0" hidden="1"/>
    </xf>
    <xf numFmtId="0" fontId="1" fillId="2" borderId="42" xfId="0" applyFont="1" applyFill="1" applyBorder="1" applyAlignment="1" applyProtection="1">
      <alignment vertical="center"/>
      <protection locked="0" hidden="1"/>
    </xf>
    <xf numFmtId="0" fontId="25" fillId="2" borderId="43" xfId="0" applyFont="1" applyFill="1" applyBorder="1" applyAlignment="1" applyProtection="1">
      <alignment horizontal="right" vertical="center"/>
      <protection locked="0" hidden="1"/>
    </xf>
    <xf numFmtId="0" fontId="25" fillId="2" borderId="35" xfId="0" applyFont="1" applyFill="1" applyBorder="1" applyAlignment="1" applyProtection="1">
      <alignment horizontal="left" vertical="center"/>
      <protection locked="0" hidden="1"/>
    </xf>
    <xf numFmtId="0" fontId="34" fillId="2" borderId="42" xfId="0" applyFont="1" applyFill="1" applyBorder="1" applyAlignment="1" applyProtection="1">
      <alignment vertical="center"/>
      <protection locked="0" hidden="1"/>
    </xf>
    <xf numFmtId="0" fontId="34" fillId="2" borderId="35" xfId="0" applyFont="1" applyFill="1" applyBorder="1" applyAlignment="1" applyProtection="1">
      <alignment horizontal="left" vertical="center"/>
      <protection locked="0" hidden="1"/>
    </xf>
    <xf numFmtId="0" fontId="34" fillId="2" borderId="42" xfId="0" applyFont="1" applyFill="1" applyBorder="1" applyAlignment="1" applyProtection="1">
      <alignment horizontal="right" vertical="center"/>
      <protection locked="0" hidden="1"/>
    </xf>
    <xf numFmtId="0" fontId="25" fillId="2" borderId="40" xfId="0" applyFont="1" applyFill="1" applyBorder="1" applyAlignment="1" applyProtection="1">
      <alignment vertical="center"/>
      <protection locked="0" hidden="1"/>
    </xf>
    <xf numFmtId="0" fontId="25" fillId="2" borderId="44" xfId="0" applyFont="1" applyFill="1" applyBorder="1" applyAlignment="1" applyProtection="1">
      <alignment vertical="center"/>
      <protection locked="0" hidden="1"/>
    </xf>
    <xf numFmtId="0" fontId="25" fillId="2" borderId="44" xfId="0" applyFont="1" applyFill="1" applyBorder="1" applyAlignment="1" applyProtection="1">
      <alignment horizontal="center" vertical="center"/>
      <protection locked="0" hidden="1"/>
    </xf>
    <xf numFmtId="0" fontId="29" fillId="2" borderId="44" xfId="0" applyFont="1" applyFill="1" applyBorder="1" applyAlignment="1" applyProtection="1">
      <alignment horizontal="center" vertical="center"/>
      <protection locked="0" hidden="1"/>
    </xf>
    <xf numFmtId="0" fontId="30" fillId="2" borderId="44" xfId="0" applyFont="1" applyFill="1" applyBorder="1" applyAlignment="1" applyProtection="1">
      <alignment horizontal="center" vertical="center"/>
      <protection locked="0" hidden="1"/>
    </xf>
    <xf numFmtId="166" fontId="25" fillId="2" borderId="44" xfId="0" applyNumberFormat="1" applyFont="1" applyFill="1" applyBorder="1" applyAlignment="1" applyProtection="1">
      <alignment vertical="center"/>
      <protection locked="0" hidden="1"/>
    </xf>
    <xf numFmtId="0" fontId="31" fillId="2" borderId="44" xfId="0" applyFont="1" applyFill="1" applyBorder="1" applyAlignment="1" applyProtection="1">
      <alignment vertical="center"/>
      <protection locked="0" hidden="1"/>
    </xf>
    <xf numFmtId="2" fontId="32" fillId="2" borderId="44" xfId="0" applyNumberFormat="1" applyFont="1" applyFill="1" applyBorder="1" applyAlignment="1" applyProtection="1">
      <alignment vertical="center"/>
      <protection locked="0" hidden="1"/>
    </xf>
    <xf numFmtId="0" fontId="21" fillId="2" borderId="44" xfId="0" applyFont="1" applyFill="1" applyBorder="1" applyAlignment="1" applyProtection="1">
      <alignment vertical="center"/>
      <protection locked="0" hidden="1"/>
    </xf>
    <xf numFmtId="0" fontId="25" fillId="2" borderId="41" xfId="0" applyFont="1" applyFill="1" applyBorder="1" applyAlignment="1" applyProtection="1">
      <alignment vertical="center"/>
      <protection locked="0" hidden="1"/>
    </xf>
    <xf numFmtId="0" fontId="25" fillId="2" borderId="45" xfId="0" applyFont="1" applyFill="1" applyBorder="1" applyAlignment="1" applyProtection="1">
      <alignment vertical="center"/>
      <protection locked="0" hidden="1"/>
    </xf>
    <xf numFmtId="0" fontId="25" fillId="2" borderId="0" xfId="0" applyFont="1" applyFill="1" applyAlignment="1" applyProtection="1">
      <alignment vertical="center"/>
      <protection locked="0" hidden="1"/>
    </xf>
    <xf numFmtId="2" fontId="32" fillId="2" borderId="0" xfId="0" applyNumberFormat="1" applyFont="1" applyFill="1" applyAlignment="1" applyProtection="1">
      <alignment vertical="center"/>
      <protection locked="0" hidden="1"/>
    </xf>
    <xf numFmtId="0" fontId="25" fillId="2" borderId="46" xfId="0" applyFont="1" applyFill="1" applyBorder="1" applyAlignment="1" applyProtection="1">
      <alignment vertical="center"/>
      <protection locked="0" hidden="1"/>
    </xf>
    <xf numFmtId="0" fontId="32" fillId="2" borderId="0" xfId="0" applyFont="1" applyFill="1" applyAlignment="1" applyProtection="1">
      <alignment vertical="center"/>
      <protection locked="0" hidden="1"/>
    </xf>
    <xf numFmtId="0" fontId="1" fillId="2" borderId="45" xfId="0" applyFont="1" applyFill="1" applyBorder="1" applyAlignment="1" applyProtection="1">
      <alignment vertical="center"/>
      <protection locked="0" hidden="1"/>
    </xf>
    <xf numFmtId="0" fontId="1" fillId="2" borderId="46" xfId="0" applyFont="1" applyFill="1" applyBorder="1" applyAlignment="1" applyProtection="1">
      <alignment vertical="center"/>
      <protection locked="0" hidden="1"/>
    </xf>
    <xf numFmtId="0" fontId="1" fillId="2" borderId="47" xfId="0" applyFont="1" applyFill="1" applyBorder="1" applyAlignment="1" applyProtection="1">
      <alignment vertical="center"/>
      <protection locked="0" hidden="1"/>
    </xf>
    <xf numFmtId="0" fontId="1" fillId="2" borderId="37" xfId="0" applyFont="1" applyFill="1" applyBorder="1" applyAlignment="1" applyProtection="1">
      <alignment vertical="center"/>
      <protection locked="0" hidden="1"/>
    </xf>
    <xf numFmtId="0" fontId="24" fillId="2" borderId="37" xfId="0" applyFont="1" applyFill="1" applyBorder="1" applyAlignment="1" applyProtection="1">
      <alignment vertical="center"/>
      <protection locked="0" hidden="1"/>
    </xf>
    <xf numFmtId="0" fontId="18" fillId="2" borderId="37" xfId="0" applyFont="1" applyFill="1" applyBorder="1" applyAlignment="1" applyProtection="1">
      <alignment horizontal="center" vertical="center"/>
      <protection locked="0" hidden="1"/>
    </xf>
    <xf numFmtId="0" fontId="20" fillId="2" borderId="37" xfId="0" applyFont="1" applyFill="1" applyBorder="1" applyAlignment="1" applyProtection="1">
      <alignment vertical="center"/>
      <protection locked="0" hidden="1"/>
    </xf>
    <xf numFmtId="166" fontId="1" fillId="2" borderId="37" xfId="0" applyNumberFormat="1" applyFont="1" applyFill="1" applyBorder="1" applyAlignment="1" applyProtection="1">
      <alignment vertical="center"/>
      <protection locked="0" hidden="1"/>
    </xf>
    <xf numFmtId="0" fontId="16" fillId="2" borderId="37" xfId="0" applyFont="1" applyFill="1" applyBorder="1" applyAlignment="1" applyProtection="1">
      <alignment vertical="center"/>
      <protection locked="0" hidden="1"/>
    </xf>
    <xf numFmtId="0" fontId="1" fillId="2" borderId="37" xfId="0" applyFont="1" applyFill="1" applyBorder="1" applyAlignment="1" applyProtection="1">
      <alignment horizontal="center" vertical="center"/>
      <protection locked="0" hidden="1"/>
    </xf>
    <xf numFmtId="2" fontId="21" fillId="2" borderId="37" xfId="0" applyNumberFormat="1" applyFont="1" applyFill="1" applyBorder="1" applyAlignment="1" applyProtection="1">
      <alignment vertical="center"/>
      <protection locked="0" hidden="1"/>
    </xf>
    <xf numFmtId="0" fontId="1" fillId="0" borderId="0" xfId="0" applyFont="1" applyAlignment="1">
      <alignment horizontal="center"/>
    </xf>
    <xf numFmtId="0" fontId="2" fillId="2" borderId="49" xfId="0" applyFont="1" applyFill="1" applyBorder="1" applyAlignment="1">
      <alignment horizontal="center" vertical="center"/>
    </xf>
    <xf numFmtId="49" fontId="24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49" fontId="24" fillId="0" borderId="34" xfId="0" applyNumberFormat="1" applyFont="1" applyBorder="1" applyAlignment="1" applyProtection="1">
      <alignment horizontal="center" vertical="center"/>
      <protection locked="0"/>
    </xf>
    <xf numFmtId="164" fontId="2" fillId="2" borderId="34" xfId="0" applyNumberFormat="1" applyFont="1" applyFill="1" applyBorder="1" applyAlignment="1" applyProtection="1">
      <alignment horizontal="center" vertical="center"/>
      <protection locked="0"/>
    </xf>
    <xf numFmtId="164" fontId="3" fillId="0" borderId="34" xfId="0" applyNumberFormat="1" applyFont="1" applyBorder="1" applyAlignment="1" applyProtection="1">
      <alignment horizontal="left" vertical="center"/>
      <protection locked="0"/>
    </xf>
    <xf numFmtId="1" fontId="19" fillId="2" borderId="34" xfId="0" applyNumberFormat="1" applyFont="1" applyFill="1" applyBorder="1" applyAlignment="1" applyProtection="1">
      <alignment horizontal="center" vertical="center"/>
      <protection locked="0"/>
    </xf>
    <xf numFmtId="2" fontId="17" fillId="2" borderId="34" xfId="0" applyNumberFormat="1" applyFont="1" applyFill="1" applyBorder="1" applyAlignment="1" applyProtection="1">
      <alignment horizontal="center" vertical="center"/>
      <protection locked="0"/>
    </xf>
    <xf numFmtId="168" fontId="4" fillId="0" borderId="34" xfId="0" applyNumberFormat="1" applyFont="1" applyBorder="1" applyAlignment="1" applyProtection="1">
      <alignment horizontal="center" vertical="center"/>
      <protection locked="0"/>
    </xf>
    <xf numFmtId="1" fontId="15" fillId="3" borderId="34" xfId="0" applyNumberFormat="1" applyFont="1" applyFill="1" applyBorder="1" applyAlignment="1">
      <alignment horizontal="center" vertical="center"/>
    </xf>
    <xf numFmtId="1" fontId="12" fillId="2" borderId="34" xfId="0" applyNumberFormat="1" applyFont="1" applyFill="1" applyBorder="1" applyAlignment="1">
      <alignment horizontal="center" vertical="center"/>
    </xf>
    <xf numFmtId="0" fontId="23" fillId="2" borderId="34" xfId="0" quotePrefix="1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2" fontId="8" fillId="2" borderId="34" xfId="0" applyNumberFormat="1" applyFont="1" applyFill="1" applyBorder="1" applyAlignment="1">
      <alignment horizontal="center" vertical="center"/>
    </xf>
    <xf numFmtId="49" fontId="24" fillId="2" borderId="34" xfId="0" applyNumberFormat="1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49" fontId="24" fillId="2" borderId="50" xfId="0" applyNumberFormat="1" applyFont="1" applyFill="1" applyBorder="1" applyAlignment="1" applyProtection="1">
      <alignment horizontal="center" vertical="center"/>
      <protection locked="0"/>
    </xf>
    <xf numFmtId="164" fontId="2" fillId="2" borderId="50" xfId="0" applyNumberFormat="1" applyFont="1" applyFill="1" applyBorder="1" applyAlignment="1" applyProtection="1">
      <alignment horizontal="center" vertical="center"/>
      <protection locked="0"/>
    </xf>
    <xf numFmtId="164" fontId="3" fillId="0" borderId="37" xfId="0" applyNumberFormat="1" applyFont="1" applyBorder="1" applyAlignment="1" applyProtection="1">
      <alignment horizontal="left" vertical="center"/>
      <protection locked="0"/>
    </xf>
    <xf numFmtId="1" fontId="19" fillId="2" borderId="50" xfId="0" applyNumberFormat="1" applyFont="1" applyFill="1" applyBorder="1" applyAlignment="1" applyProtection="1">
      <alignment horizontal="center" vertical="center"/>
      <protection locked="0"/>
    </xf>
    <xf numFmtId="0" fontId="27" fillId="2" borderId="50" xfId="0" applyFont="1" applyFill="1" applyBorder="1" applyAlignment="1" applyProtection="1">
      <alignment horizontal="center" vertical="center"/>
      <protection locked="0"/>
    </xf>
    <xf numFmtId="2" fontId="17" fillId="2" borderId="51" xfId="0" applyNumberFormat="1" applyFont="1" applyFill="1" applyBorder="1" applyAlignment="1" applyProtection="1">
      <alignment horizontal="center" vertical="center"/>
      <protection locked="0"/>
    </xf>
    <xf numFmtId="168" fontId="4" fillId="0" borderId="52" xfId="0" applyNumberFormat="1" applyFont="1" applyBorder="1" applyAlignment="1" applyProtection="1">
      <alignment horizontal="center" vertical="center"/>
      <protection locked="0"/>
    </xf>
    <xf numFmtId="168" fontId="4" fillId="0" borderId="53" xfId="0" applyNumberFormat="1" applyFont="1" applyBorder="1" applyAlignment="1" applyProtection="1">
      <alignment horizontal="center" vertical="center"/>
      <protection locked="0"/>
    </xf>
    <xf numFmtId="1" fontId="15" fillId="3" borderId="54" xfId="0" applyNumberFormat="1" applyFont="1" applyFill="1" applyBorder="1" applyAlignment="1">
      <alignment horizontal="center" vertical="center"/>
    </xf>
    <xf numFmtId="1" fontId="12" fillId="2" borderId="55" xfId="0" applyNumberFormat="1" applyFont="1" applyFill="1" applyBorder="1" applyAlignment="1">
      <alignment horizontal="center" vertical="center"/>
    </xf>
    <xf numFmtId="0" fontId="23" fillId="2" borderId="50" xfId="0" quotePrefix="1" applyFont="1" applyFill="1" applyBorder="1" applyAlignment="1">
      <alignment horizontal="center" vertical="center"/>
    </xf>
    <xf numFmtId="0" fontId="23" fillId="3" borderId="50" xfId="0" applyFont="1" applyFill="1" applyBorder="1" applyAlignment="1">
      <alignment horizontal="center" vertical="center"/>
    </xf>
    <xf numFmtId="2" fontId="8" fillId="2" borderId="51" xfId="0" applyNumberFormat="1" applyFont="1" applyFill="1" applyBorder="1" applyAlignment="1">
      <alignment horizontal="center" vertical="center"/>
    </xf>
    <xf numFmtId="0" fontId="28" fillId="2" borderId="34" xfId="0" applyFont="1" applyFill="1" applyBorder="1" applyAlignment="1" applyProtection="1">
      <alignment horizontal="center" vertical="center"/>
      <protection locked="0"/>
    </xf>
    <xf numFmtId="0" fontId="10" fillId="0" borderId="34" xfId="0" applyFont="1" applyBorder="1"/>
    <xf numFmtId="0" fontId="27" fillId="2" borderId="34" xfId="0" applyFont="1" applyFill="1" applyBorder="1" applyAlignment="1" applyProtection="1">
      <alignment vertical="center"/>
      <protection locked="0"/>
    </xf>
    <xf numFmtId="0" fontId="10" fillId="0" borderId="34" xfId="0" applyFont="1" applyBorder="1" applyAlignment="1">
      <alignment horizontal="left" vertical="center"/>
    </xf>
    <xf numFmtId="0" fontId="0" fillId="0" borderId="34" xfId="0" applyBorder="1"/>
    <xf numFmtId="0" fontId="0" fillId="0" borderId="34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168" fontId="4" fillId="3" borderId="34" xfId="0" applyNumberFormat="1" applyFont="1" applyFill="1" applyBorder="1" applyAlignment="1" applyProtection="1">
      <alignment horizontal="center" vertical="center"/>
      <protection locked="0"/>
    </xf>
    <xf numFmtId="164" fontId="2" fillId="2" borderId="59" xfId="0" applyNumberFormat="1" applyFont="1" applyFill="1" applyBorder="1" applyAlignment="1" applyProtection="1">
      <alignment horizontal="center" vertical="center"/>
      <protection locked="0"/>
    </xf>
    <xf numFmtId="2" fontId="17" fillId="2" borderId="59" xfId="0" applyNumberFormat="1" applyFont="1" applyFill="1" applyBorder="1" applyAlignment="1" applyProtection="1">
      <alignment horizontal="center" vertical="center"/>
      <protection locked="0"/>
    </xf>
    <xf numFmtId="1" fontId="19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2" borderId="60" xfId="0" applyNumberFormat="1" applyFont="1" applyFill="1" applyBorder="1" applyAlignment="1" applyProtection="1">
      <alignment horizontal="center" vertical="center"/>
      <protection locked="0"/>
    </xf>
    <xf numFmtId="168" fontId="4" fillId="2" borderId="14" xfId="0" applyNumberFormat="1" applyFont="1" applyFill="1" applyBorder="1" applyAlignment="1" applyProtection="1">
      <alignment horizontal="center" vertical="center"/>
      <protection locked="0"/>
    </xf>
    <xf numFmtId="164" fontId="3" fillId="3" borderId="61" xfId="0" applyNumberFormat="1" applyFont="1" applyFill="1" applyBorder="1" applyAlignment="1" applyProtection="1">
      <alignment horizontal="center" vertical="center"/>
      <protection locked="0"/>
    </xf>
    <xf numFmtId="164" fontId="3" fillId="3" borderId="63" xfId="0" applyNumberFormat="1" applyFont="1" applyFill="1" applyBorder="1" applyAlignment="1" applyProtection="1">
      <alignment horizontal="left" vertical="center"/>
      <protection locked="0"/>
    </xf>
    <xf numFmtId="0" fontId="20" fillId="3" borderId="63" xfId="0" applyFont="1" applyFill="1" applyBorder="1" applyAlignment="1" applyProtection="1">
      <alignment horizontal="center" vertical="center"/>
      <protection locked="0"/>
    </xf>
    <xf numFmtId="168" fontId="4" fillId="2" borderId="30" xfId="0" applyNumberFormat="1" applyFont="1" applyFill="1" applyBorder="1" applyAlignment="1" applyProtection="1">
      <alignment horizontal="center" vertical="center"/>
      <protection locked="0"/>
    </xf>
    <xf numFmtId="168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23" fillId="2" borderId="27" xfId="0" applyFont="1" applyFill="1" applyBorder="1" applyAlignment="1">
      <alignment horizontal="center" vertical="center"/>
    </xf>
    <xf numFmtId="164" fontId="3" fillId="3" borderId="62" xfId="0" applyNumberFormat="1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49" fontId="24" fillId="3" borderId="65" xfId="0" applyNumberFormat="1" applyFont="1" applyFill="1" applyBorder="1" applyAlignment="1" applyProtection="1">
      <alignment horizontal="center" vertical="center"/>
      <protection locked="0"/>
    </xf>
    <xf numFmtId="164" fontId="2" fillId="3" borderId="66" xfId="0" applyNumberFormat="1" applyFont="1" applyFill="1" applyBorder="1" applyAlignment="1" applyProtection="1">
      <alignment horizontal="center" vertical="center"/>
      <protection locked="0"/>
    </xf>
    <xf numFmtId="1" fontId="19" fillId="3" borderId="56" xfId="0" applyNumberFormat="1" applyFont="1" applyFill="1" applyBorder="1" applyAlignment="1" applyProtection="1">
      <alignment horizontal="center" vertical="center"/>
      <protection locked="0"/>
    </xf>
    <xf numFmtId="164" fontId="2" fillId="3" borderId="67" xfId="0" applyNumberFormat="1" applyFont="1" applyFill="1" applyBorder="1" applyAlignment="1" applyProtection="1">
      <alignment horizontal="center" vertical="center"/>
      <protection locked="0"/>
    </xf>
    <xf numFmtId="2" fontId="17" fillId="3" borderId="66" xfId="0" applyNumberFormat="1" applyFont="1" applyFill="1" applyBorder="1" applyAlignment="1" applyProtection="1">
      <alignment horizontal="center" vertical="center"/>
      <protection locked="0"/>
    </xf>
    <xf numFmtId="168" fontId="4" fillId="2" borderId="64" xfId="0" applyNumberFormat="1" applyFont="1" applyFill="1" applyBorder="1" applyAlignment="1" applyProtection="1">
      <alignment horizontal="center" vertical="center"/>
      <protection locked="0"/>
    </xf>
    <xf numFmtId="168" fontId="4" fillId="2" borderId="68" xfId="0" applyNumberFormat="1" applyFont="1" applyFill="1" applyBorder="1" applyAlignment="1" applyProtection="1">
      <alignment horizontal="center" vertical="center"/>
      <protection locked="0"/>
    </xf>
    <xf numFmtId="1" fontId="15" fillId="3" borderId="6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49" fontId="24" fillId="3" borderId="27" xfId="0" applyNumberFormat="1" applyFont="1" applyFill="1" applyBorder="1" applyAlignment="1" applyProtection="1">
      <alignment horizontal="center" vertical="center"/>
      <protection locked="0"/>
    </xf>
    <xf numFmtId="164" fontId="2" fillId="3" borderId="70" xfId="0" applyNumberFormat="1" applyFont="1" applyFill="1" applyBorder="1" applyAlignment="1" applyProtection="1">
      <alignment horizontal="center" vertical="center"/>
      <protection locked="0"/>
    </xf>
    <xf numFmtId="1" fontId="19" fillId="3" borderId="28" xfId="0" applyNumberFormat="1" applyFont="1" applyFill="1" applyBorder="1" applyAlignment="1" applyProtection="1">
      <alignment horizontal="center" vertical="center"/>
      <protection locked="0"/>
    </xf>
    <xf numFmtId="164" fontId="2" fillId="3" borderId="71" xfId="0" applyNumberFormat="1" applyFont="1" applyFill="1" applyBorder="1" applyAlignment="1" applyProtection="1">
      <alignment horizontal="center" vertical="center"/>
      <protection locked="0"/>
    </xf>
    <xf numFmtId="2" fontId="17" fillId="3" borderId="70" xfId="0" applyNumberFormat="1" applyFont="1" applyFill="1" applyBorder="1" applyAlignment="1" applyProtection="1">
      <alignment horizontal="center" vertical="center"/>
      <protection locked="0"/>
    </xf>
    <xf numFmtId="168" fontId="4" fillId="2" borderId="72" xfId="0" applyNumberFormat="1" applyFont="1" applyFill="1" applyBorder="1" applyAlignment="1" applyProtection="1">
      <alignment horizontal="center" vertical="center"/>
      <protection locked="0"/>
    </xf>
    <xf numFmtId="0" fontId="36" fillId="0" borderId="73" xfId="0" applyFont="1" applyBorder="1"/>
    <xf numFmtId="0" fontId="1" fillId="0" borderId="40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1" xfId="0" applyFont="1" applyBorder="1"/>
    <xf numFmtId="0" fontId="0" fillId="0" borderId="75" xfId="0" applyBorder="1"/>
    <xf numFmtId="0" fontId="2" fillId="0" borderId="0" xfId="0" applyFont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49" fontId="24" fillId="4" borderId="44" xfId="0" applyNumberFormat="1" applyFont="1" applyFill="1" applyBorder="1" applyAlignment="1" applyProtection="1">
      <alignment horizontal="center" vertical="center"/>
      <protection locked="0"/>
    </xf>
    <xf numFmtId="164" fontId="2" fillId="4" borderId="44" xfId="0" applyNumberFormat="1" applyFont="1" applyFill="1" applyBorder="1" applyAlignment="1" applyProtection="1">
      <alignment horizontal="center" vertical="center"/>
      <protection locked="0"/>
    </xf>
    <xf numFmtId="164" fontId="3" fillId="4" borderId="44" xfId="0" applyNumberFormat="1" applyFont="1" applyFill="1" applyBorder="1" applyAlignment="1" applyProtection="1">
      <alignment horizontal="left" vertical="center"/>
      <protection locked="0"/>
    </xf>
    <xf numFmtId="1" fontId="19" fillId="4" borderId="44" xfId="0" applyNumberFormat="1" applyFont="1" applyFill="1" applyBorder="1" applyAlignment="1" applyProtection="1">
      <alignment horizontal="center" vertical="center"/>
      <protection locked="0"/>
    </xf>
    <xf numFmtId="0" fontId="28" fillId="4" borderId="44" xfId="0" applyFont="1" applyFill="1" applyBorder="1" applyAlignment="1" applyProtection="1">
      <alignment horizontal="center" vertical="center"/>
      <protection locked="0"/>
    </xf>
    <xf numFmtId="2" fontId="17" fillId="4" borderId="44" xfId="0" applyNumberFormat="1" applyFont="1" applyFill="1" applyBorder="1" applyAlignment="1" applyProtection="1">
      <alignment horizontal="center" vertical="center"/>
      <protection locked="0"/>
    </xf>
    <xf numFmtId="168" fontId="4" fillId="4" borderId="44" xfId="0" applyNumberFormat="1" applyFont="1" applyFill="1" applyBorder="1" applyAlignment="1" applyProtection="1">
      <alignment horizontal="center" vertical="center"/>
      <protection locked="0"/>
    </xf>
    <xf numFmtId="1" fontId="15" fillId="4" borderId="44" xfId="0" applyNumberFormat="1" applyFont="1" applyFill="1" applyBorder="1" applyAlignment="1">
      <alignment horizontal="center" vertical="center"/>
    </xf>
    <xf numFmtId="1" fontId="12" fillId="4" borderId="44" xfId="0" applyNumberFormat="1" applyFont="1" applyFill="1" applyBorder="1" applyAlignment="1">
      <alignment horizontal="center" vertical="center"/>
    </xf>
    <xf numFmtId="0" fontId="23" fillId="4" borderId="44" xfId="0" quotePrefix="1" applyFont="1" applyFill="1" applyBorder="1" applyAlignment="1">
      <alignment horizontal="center" vertical="center"/>
    </xf>
    <xf numFmtId="0" fontId="23" fillId="4" borderId="44" xfId="0" applyFont="1" applyFill="1" applyBorder="1" applyAlignment="1">
      <alignment horizontal="center" vertical="center"/>
    </xf>
    <xf numFmtId="2" fontId="8" fillId="4" borderId="41" xfId="0" applyNumberFormat="1" applyFont="1" applyFill="1" applyBorder="1" applyAlignment="1">
      <alignment horizontal="center" vertical="center"/>
    </xf>
    <xf numFmtId="0" fontId="28" fillId="0" borderId="34" xfId="0" applyFont="1" applyBorder="1" applyAlignment="1">
      <alignment horizontal="left" vertical="center"/>
    </xf>
    <xf numFmtId="0" fontId="28" fillId="2" borderId="34" xfId="0" applyFont="1" applyFill="1" applyBorder="1" applyAlignment="1" applyProtection="1">
      <alignment vertical="center"/>
      <protection locked="0"/>
    </xf>
    <xf numFmtId="1" fontId="15" fillId="0" borderId="34" xfId="0" applyNumberFormat="1" applyFont="1" applyBorder="1" applyAlignment="1">
      <alignment horizontal="center" vertical="center"/>
    </xf>
    <xf numFmtId="0" fontId="39" fillId="2" borderId="34" xfId="0" applyFont="1" applyFill="1" applyBorder="1" applyAlignment="1" applyProtection="1">
      <alignment vertical="center"/>
      <protection locked="0" hidden="1"/>
    </xf>
    <xf numFmtId="0" fontId="40" fillId="2" borderId="0" xfId="0" applyFont="1" applyFill="1" applyAlignment="1" applyProtection="1">
      <alignment vertical="center"/>
      <protection locked="0" hidden="1"/>
    </xf>
    <xf numFmtId="0" fontId="40" fillId="2" borderId="37" xfId="0" applyFont="1" applyFill="1" applyBorder="1" applyAlignment="1" applyProtection="1">
      <alignment vertical="center"/>
      <protection locked="0" hidden="1"/>
    </xf>
    <xf numFmtId="0" fontId="39" fillId="2" borderId="44" xfId="0" applyFont="1" applyFill="1" applyBorder="1" applyAlignment="1" applyProtection="1">
      <alignment vertical="center"/>
      <protection locked="0" hidden="1"/>
    </xf>
    <xf numFmtId="164" fontId="41" fillId="2" borderId="34" xfId="0" applyNumberFormat="1" applyFont="1" applyFill="1" applyBorder="1" applyAlignment="1" applyProtection="1">
      <alignment vertical="center"/>
      <protection locked="0" hidden="1"/>
    </xf>
    <xf numFmtId="0" fontId="42" fillId="2" borderId="0" xfId="0" applyFont="1" applyFill="1" applyAlignment="1" applyProtection="1">
      <alignment vertical="center"/>
      <protection locked="0" hidden="1"/>
    </xf>
    <xf numFmtId="0" fontId="42" fillId="2" borderId="37" xfId="0" applyFont="1" applyFill="1" applyBorder="1" applyAlignment="1" applyProtection="1">
      <alignment vertical="center"/>
      <protection locked="0" hidden="1"/>
    </xf>
    <xf numFmtId="0" fontId="41" fillId="2" borderId="44" xfId="0" applyFont="1" applyFill="1" applyBorder="1" applyAlignment="1" applyProtection="1">
      <alignment vertical="center"/>
      <protection locked="0" hidden="1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2" borderId="28" xfId="0" applyNumberFormat="1" applyFont="1" applyFill="1" applyBorder="1" applyAlignment="1" applyProtection="1">
      <alignment horizontal="center" vertical="center"/>
      <protection locked="0"/>
    </xf>
    <xf numFmtId="164" fontId="2" fillId="3" borderId="56" xfId="0" applyNumberFormat="1" applyFont="1" applyFill="1" applyBorder="1" applyAlignment="1" applyProtection="1">
      <alignment horizontal="center" vertical="center"/>
      <protection locked="0"/>
    </xf>
    <xf numFmtId="164" fontId="2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3" borderId="28" xfId="0" applyNumberFormat="1" applyFont="1" applyFill="1" applyBorder="1" applyAlignment="1" applyProtection="1">
      <alignment horizontal="center" vertical="center"/>
      <protection locked="0"/>
    </xf>
    <xf numFmtId="164" fontId="43" fillId="2" borderId="34" xfId="0" applyNumberFormat="1" applyFont="1" applyFill="1" applyBorder="1" applyAlignment="1" applyProtection="1">
      <alignment horizontal="center" vertical="center"/>
      <protection locked="0"/>
    </xf>
    <xf numFmtId="164" fontId="43" fillId="0" borderId="34" xfId="0" applyNumberFormat="1" applyFont="1" applyBorder="1" applyAlignment="1" applyProtection="1">
      <alignment horizontal="left" vertical="center"/>
      <protection locked="0"/>
    </xf>
    <xf numFmtId="1" fontId="44" fillId="2" borderId="34" xfId="0" applyNumberFormat="1" applyFont="1" applyFill="1" applyBorder="1" applyAlignment="1" applyProtection="1">
      <alignment horizontal="center" vertical="center"/>
      <protection locked="0"/>
    </xf>
    <xf numFmtId="0" fontId="43" fillId="0" borderId="34" xfId="0" applyFont="1" applyBorder="1" applyAlignment="1">
      <alignment horizontal="left" vertical="center"/>
    </xf>
    <xf numFmtId="0" fontId="45" fillId="0" borderId="34" xfId="0" applyFont="1" applyBorder="1" applyAlignment="1">
      <alignment horizontal="left"/>
    </xf>
    <xf numFmtId="0" fontId="45" fillId="0" borderId="34" xfId="0" applyFont="1" applyBorder="1" applyAlignment="1">
      <alignment horizontal="left" vertical="center" wrapText="1"/>
    </xf>
    <xf numFmtId="164" fontId="2" fillId="2" borderId="37" xfId="0" applyNumberFormat="1" applyFont="1" applyFill="1" applyBorder="1" applyAlignment="1" applyProtection="1">
      <alignment horizontal="center" vertical="center"/>
      <protection locked="0"/>
    </xf>
    <xf numFmtId="0" fontId="45" fillId="0" borderId="34" xfId="0" applyFont="1" applyBorder="1" applyAlignment="1">
      <alignment horizontal="left" vertical="center"/>
    </xf>
    <xf numFmtId="0" fontId="45" fillId="0" borderId="34" xfId="0" applyFont="1" applyBorder="1" applyAlignment="1">
      <alignment vertical="center"/>
    </xf>
    <xf numFmtId="0" fontId="43" fillId="12" borderId="77" xfId="0" applyFont="1" applyFill="1" applyBorder="1" applyAlignment="1">
      <alignment horizontal="left" vertical="center" wrapText="1"/>
    </xf>
    <xf numFmtId="0" fontId="43" fillId="0" borderId="34" xfId="0" applyFont="1" applyBorder="1" applyAlignment="1">
      <alignment horizontal="left" vertical="center" wrapText="1"/>
    </xf>
    <xf numFmtId="0" fontId="45" fillId="0" borderId="34" xfId="0" applyFont="1" applyBorder="1" applyAlignment="1">
      <alignment vertical="center" wrapText="1"/>
    </xf>
    <xf numFmtId="0" fontId="45" fillId="0" borderId="35" xfId="0" applyFont="1" applyBorder="1" applyAlignment="1">
      <alignment vertical="center"/>
    </xf>
    <xf numFmtId="0" fontId="43" fillId="12" borderId="34" xfId="0" applyFont="1" applyFill="1" applyBorder="1" applyAlignment="1">
      <alignment vertical="center" wrapText="1"/>
    </xf>
    <xf numFmtId="0" fontId="43" fillId="0" borderId="35" xfId="0" applyFont="1" applyBorder="1" applyAlignment="1">
      <alignment horizontal="left" vertical="center"/>
    </xf>
    <xf numFmtId="0" fontId="43" fillId="0" borderId="77" xfId="0" applyFont="1" applyBorder="1" applyAlignment="1">
      <alignment horizontal="left" vertical="center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164" fontId="2" fillId="2" borderId="78" xfId="0" applyNumberFormat="1" applyFont="1" applyFill="1" applyBorder="1" applyAlignment="1" applyProtection="1">
      <alignment horizontal="center" vertical="center"/>
      <protection locked="0"/>
    </xf>
    <xf numFmtId="2" fontId="17" fillId="2" borderId="78" xfId="0" applyNumberFormat="1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4" borderId="36" xfId="0" applyFont="1" applyFill="1" applyBorder="1" applyAlignment="1" applyProtection="1">
      <alignment horizontal="center" vertical="center"/>
      <protection hidden="1"/>
    </xf>
    <xf numFmtId="168" fontId="48" fillId="0" borderId="34" xfId="0" applyNumberFormat="1" applyFont="1" applyBorder="1" applyAlignment="1" applyProtection="1">
      <alignment horizontal="center" vertical="center"/>
      <protection locked="0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168" fontId="38" fillId="0" borderId="34" xfId="0" applyNumberFormat="1" applyFont="1" applyBorder="1" applyAlignment="1" applyProtection="1">
      <alignment horizontal="center" vertical="center"/>
      <protection locked="0"/>
    </xf>
    <xf numFmtId="1" fontId="15" fillId="0" borderId="54" xfId="0" applyNumberFormat="1" applyFont="1" applyBorder="1" applyAlignment="1">
      <alignment horizontal="center" vertical="center"/>
    </xf>
    <xf numFmtId="0" fontId="36" fillId="0" borderId="34" xfId="0" applyFont="1" applyBorder="1"/>
    <xf numFmtId="171" fontId="28" fillId="0" borderId="34" xfId="0" applyNumberFormat="1" applyFont="1" applyBorder="1"/>
    <xf numFmtId="0" fontId="36" fillId="0" borderId="79" xfId="0" applyFont="1" applyBorder="1"/>
    <xf numFmtId="0" fontId="36" fillId="0" borderId="80" xfId="0" applyFont="1" applyBorder="1"/>
    <xf numFmtId="171" fontId="28" fillId="0" borderId="80" xfId="0" applyNumberFormat="1" applyFont="1" applyBorder="1"/>
    <xf numFmtId="0" fontId="36" fillId="0" borderId="81" xfId="0" applyFont="1" applyBorder="1"/>
    <xf numFmtId="0" fontId="36" fillId="0" borderId="82" xfId="0" applyFont="1" applyBorder="1"/>
    <xf numFmtId="0" fontId="36" fillId="0" borderId="83" xfId="0" applyFont="1" applyBorder="1"/>
    <xf numFmtId="0" fontId="36" fillId="0" borderId="84" xfId="0" applyFont="1" applyBorder="1"/>
    <xf numFmtId="0" fontId="28" fillId="0" borderId="84" xfId="0" applyFont="1" applyBorder="1"/>
    <xf numFmtId="0" fontId="36" fillId="0" borderId="74" xfId="0" applyFont="1" applyBorder="1"/>
    <xf numFmtId="164" fontId="3" fillId="3" borderId="8" xfId="0" applyNumberFormat="1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3" borderId="58" xfId="0" applyNumberFormat="1" applyFont="1" applyFill="1" applyBorder="1" applyAlignment="1" applyProtection="1">
      <alignment horizontal="center" vertical="center"/>
      <protection locked="0"/>
    </xf>
    <xf numFmtId="1" fontId="25" fillId="2" borderId="25" xfId="0" applyNumberFormat="1" applyFont="1" applyFill="1" applyBorder="1" applyAlignment="1">
      <alignment horizontal="center" vertical="center" wrapText="1"/>
    </xf>
    <xf numFmtId="1" fontId="25" fillId="2" borderId="56" xfId="0" applyNumberFormat="1" applyFont="1" applyFill="1" applyBorder="1" applyAlignment="1">
      <alignment horizontal="center" vertical="center" wrapText="1"/>
    </xf>
    <xf numFmtId="1" fontId="25" fillId="2" borderId="5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2" borderId="5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7" fontId="25" fillId="3" borderId="5" xfId="0" applyNumberFormat="1" applyFont="1" applyFill="1" applyBorder="1" applyAlignment="1">
      <alignment horizontal="center" vertical="center"/>
    </xf>
    <xf numFmtId="167" fontId="25" fillId="3" borderId="6" xfId="0" applyNumberFormat="1" applyFont="1" applyFill="1" applyBorder="1" applyAlignment="1">
      <alignment horizontal="center" vertical="center"/>
    </xf>
    <xf numFmtId="164" fontId="3" fillId="3" borderId="25" xfId="0" applyNumberFormat="1" applyFont="1" applyFill="1" applyBorder="1" applyAlignment="1" applyProtection="1">
      <alignment horizontal="center" vertical="center"/>
      <protection locked="0"/>
    </xf>
    <xf numFmtId="164" fontId="3" fillId="3" borderId="56" xfId="0" applyNumberFormat="1" applyFont="1" applyFill="1" applyBorder="1" applyAlignment="1" applyProtection="1">
      <alignment horizontal="center" vertical="center"/>
      <protection locked="0"/>
    </xf>
    <xf numFmtId="164" fontId="3" fillId="3" borderId="57" xfId="0" applyNumberFormat="1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/>
    </xf>
    <xf numFmtId="1" fontId="3" fillId="2" borderId="56" xfId="0" applyNumberFormat="1" applyFont="1" applyFill="1" applyBorder="1" applyAlignment="1">
      <alignment horizontal="center" vertical="center"/>
    </xf>
    <xf numFmtId="1" fontId="3" fillId="2" borderId="57" xfId="0" applyNumberFormat="1" applyFont="1" applyFill="1" applyBorder="1" applyAlignment="1">
      <alignment horizontal="center" vertical="center"/>
    </xf>
    <xf numFmtId="168" fontId="4" fillId="2" borderId="25" xfId="0" applyNumberFormat="1" applyFont="1" applyFill="1" applyBorder="1" applyAlignment="1" applyProtection="1">
      <alignment horizontal="center" vertical="center"/>
      <protection locked="0"/>
    </xf>
    <xf numFmtId="168" fontId="4" fillId="2" borderId="56" xfId="0" applyNumberFormat="1" applyFont="1" applyFill="1" applyBorder="1" applyAlignment="1" applyProtection="1">
      <alignment horizontal="center" vertical="center"/>
      <protection locked="0"/>
    </xf>
    <xf numFmtId="168" fontId="4" fillId="2" borderId="57" xfId="0" applyNumberFormat="1" applyFont="1" applyFill="1" applyBorder="1" applyAlignment="1" applyProtection="1">
      <alignment horizontal="center" vertical="center"/>
      <protection locked="0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3" fillId="3" borderId="58" xfId="0" applyNumberFormat="1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15" fontId="35" fillId="0" borderId="0" xfId="0" applyNumberFormat="1" applyFont="1" applyAlignment="1">
      <alignment horizontal="center"/>
    </xf>
    <xf numFmtId="0" fontId="21" fillId="2" borderId="0" xfId="0" applyFont="1" applyFill="1" applyAlignment="1" applyProtection="1">
      <alignment horizontal="center" vertical="center"/>
      <protection locked="0" hidden="1"/>
    </xf>
    <xf numFmtId="0" fontId="21" fillId="2" borderId="46" xfId="0" applyFont="1" applyFill="1" applyBorder="1" applyAlignment="1" applyProtection="1">
      <alignment horizontal="center" vertical="center"/>
      <protection locked="0" hidden="1"/>
    </xf>
    <xf numFmtId="0" fontId="37" fillId="2" borderId="40" xfId="0" applyFont="1" applyFill="1" applyBorder="1" applyAlignment="1" applyProtection="1">
      <alignment horizontal="center" vertical="center"/>
      <protection locked="0" hidden="1"/>
    </xf>
    <xf numFmtId="0" fontId="37" fillId="2" borderId="41" xfId="0" applyFont="1" applyFill="1" applyBorder="1" applyAlignment="1" applyProtection="1">
      <alignment horizontal="center" vertical="center"/>
      <protection locked="0" hidden="1"/>
    </xf>
    <xf numFmtId="0" fontId="37" fillId="2" borderId="45" xfId="0" applyFont="1" applyFill="1" applyBorder="1" applyAlignment="1" applyProtection="1">
      <alignment horizontal="center" vertical="center"/>
      <protection locked="0" hidden="1"/>
    </xf>
    <xf numFmtId="0" fontId="37" fillId="2" borderId="46" xfId="0" applyFont="1" applyFill="1" applyBorder="1" applyAlignment="1" applyProtection="1">
      <alignment horizontal="center" vertical="center"/>
      <protection locked="0" hidden="1"/>
    </xf>
    <xf numFmtId="0" fontId="37" fillId="2" borderId="47" xfId="0" applyFont="1" applyFill="1" applyBorder="1" applyAlignment="1" applyProtection="1">
      <alignment horizontal="center" vertical="center"/>
      <protection locked="0" hidden="1"/>
    </xf>
    <xf numFmtId="0" fontId="37" fillId="2" borderId="48" xfId="0" applyFont="1" applyFill="1" applyBorder="1" applyAlignment="1" applyProtection="1">
      <alignment horizontal="center" vertical="center"/>
      <protection locked="0" hidden="1"/>
    </xf>
    <xf numFmtId="167" fontId="9" fillId="3" borderId="5" xfId="0" applyNumberFormat="1" applyFont="1" applyFill="1" applyBorder="1" applyAlignment="1">
      <alignment horizontal="center" vertical="center"/>
    </xf>
    <xf numFmtId="167" fontId="9" fillId="3" borderId="6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/>
    </xf>
    <xf numFmtId="0" fontId="0" fillId="0" borderId="0" xfId="0" applyAlignment="1">
      <alignment horizontal="center"/>
    </xf>
    <xf numFmtId="0" fontId="2" fillId="4" borderId="37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85460E-D734-4119-BF56-0AF649A00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89534"/>
          <a:ext cx="768222" cy="704851"/>
        </a:xfrm>
        <a:prstGeom prst="rect">
          <a:avLst/>
        </a:prstGeom>
      </xdr:spPr>
    </xdr:pic>
    <xdr:clientData/>
  </xdr:twoCellAnchor>
  <xdr:twoCellAnchor editAs="oneCell">
    <xdr:from>
      <xdr:col>2</xdr:col>
      <xdr:colOff>576804</xdr:colOff>
      <xdr:row>0</xdr:row>
      <xdr:rowOff>56342</xdr:rowOff>
    </xdr:from>
    <xdr:to>
      <xdr:col>4</xdr:col>
      <xdr:colOff>357096</xdr:colOff>
      <xdr:row>2</xdr:row>
      <xdr:rowOff>360526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A721E9E-5B92-402A-A6B6-EB615F14A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7107" y="56342"/>
          <a:ext cx="896353" cy="7506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E53970-3269-4183-9B43-1A4151CBA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89534"/>
          <a:ext cx="768222" cy="704851"/>
        </a:xfrm>
        <a:prstGeom prst="rect">
          <a:avLst/>
        </a:prstGeom>
      </xdr:spPr>
    </xdr:pic>
    <xdr:clientData/>
  </xdr:twoCellAnchor>
  <xdr:twoCellAnchor editAs="oneCell">
    <xdr:from>
      <xdr:col>2</xdr:col>
      <xdr:colOff>658958</xdr:colOff>
      <xdr:row>1</xdr:row>
      <xdr:rowOff>10160</xdr:rowOff>
    </xdr:from>
    <xdr:to>
      <xdr:col>4</xdr:col>
      <xdr:colOff>444904</xdr:colOff>
      <xdr:row>2</xdr:row>
      <xdr:rowOff>375920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189F975-EB2E-4E83-91F7-6A38E2ECE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366" y="72364"/>
          <a:ext cx="905620" cy="746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28574</xdr:rowOff>
    </xdr:from>
    <xdr:to>
      <xdr:col>5</xdr:col>
      <xdr:colOff>19557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439C21-1DFF-42DE-8EB0-15581D16D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4"/>
          <a:ext cx="762507" cy="704851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1</xdr:row>
      <xdr:rowOff>19685</xdr:rowOff>
    </xdr:from>
    <xdr:to>
      <xdr:col>5</xdr:col>
      <xdr:colOff>994584</xdr:colOff>
      <xdr:row>3</xdr:row>
      <xdr:rowOff>4445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14C2B31-DD86-4B62-BB4C-87BFA2772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" y="76835"/>
          <a:ext cx="889809" cy="746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5724"/>
          <a:ext cx="752982" cy="704851"/>
        </a:xfrm>
        <a:prstGeom prst="rect">
          <a:avLst/>
        </a:prstGeom>
      </xdr:spPr>
    </xdr:pic>
    <xdr:clientData/>
  </xdr:twoCellAnchor>
  <xdr:twoCellAnchor editAs="oneCell">
    <xdr:from>
      <xdr:col>2</xdr:col>
      <xdr:colOff>611605</xdr:colOff>
      <xdr:row>0</xdr:row>
      <xdr:rowOff>50266</xdr:rowOff>
    </xdr:from>
    <xdr:to>
      <xdr:col>5</xdr:col>
      <xdr:colOff>382478</xdr:colOff>
      <xdr:row>2</xdr:row>
      <xdr:rowOff>355868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C74C18-3442-F28E-1912-D26663783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631" y="50266"/>
          <a:ext cx="893821" cy="7467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AA054D-01A2-4650-AF75-08DA3758A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89534"/>
          <a:ext cx="768222" cy="704851"/>
        </a:xfrm>
        <a:prstGeom prst="rect">
          <a:avLst/>
        </a:prstGeom>
      </xdr:spPr>
    </xdr:pic>
    <xdr:clientData/>
  </xdr:twoCellAnchor>
  <xdr:twoCellAnchor editAs="oneCell">
    <xdr:from>
      <xdr:col>3</xdr:col>
      <xdr:colOff>145774</xdr:colOff>
      <xdr:row>1</xdr:row>
      <xdr:rowOff>10160</xdr:rowOff>
    </xdr:from>
    <xdr:to>
      <xdr:col>5</xdr:col>
      <xdr:colOff>133884</xdr:colOff>
      <xdr:row>2</xdr:row>
      <xdr:rowOff>375920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F2523B8-70B5-4C4F-BA46-7320CCA6D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94" y="71120"/>
          <a:ext cx="917750" cy="746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383141</xdr:colOff>
      <xdr:row>0</xdr:row>
      <xdr:rowOff>114300</xdr:rowOff>
    </xdr:from>
    <xdr:to>
      <xdr:col>0</xdr:col>
      <xdr:colOff>1821180</xdr:colOff>
      <xdr:row>4</xdr:row>
      <xdr:rowOff>107989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5836C9-182D-42B6-C96F-214A9E353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141" y="114300"/>
          <a:ext cx="1438039" cy="1182409"/>
        </a:xfrm>
        <a:prstGeom prst="rect">
          <a:avLst/>
        </a:prstGeom>
      </xdr:spPr>
    </xdr:pic>
    <xdr:clientData/>
  </xdr:twoCellAnchor>
  <xdr:twoCellAnchor editAs="oneCell">
    <xdr:from>
      <xdr:col>5</xdr:col>
      <xdr:colOff>177490</xdr:colOff>
      <xdr:row>0</xdr:row>
      <xdr:rowOff>97387</xdr:rowOff>
    </xdr:from>
    <xdr:to>
      <xdr:col>7</xdr:col>
      <xdr:colOff>40845</xdr:colOff>
      <xdr:row>4</xdr:row>
      <xdr:rowOff>97387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9CCAD68-4315-4B0B-907C-3E7BC2F1A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6490" y="97387"/>
          <a:ext cx="1443112" cy="1189463"/>
        </a:xfrm>
        <a:prstGeom prst="rect">
          <a:avLst/>
        </a:prstGeom>
      </xdr:spPr>
    </xdr:pic>
    <xdr:clientData/>
  </xdr:twoCellAnchor>
  <xdr:twoCellAnchor editAs="oneCell">
    <xdr:from>
      <xdr:col>4</xdr:col>
      <xdr:colOff>117214</xdr:colOff>
      <xdr:row>6</xdr:row>
      <xdr:rowOff>139390</xdr:rowOff>
    </xdr:from>
    <xdr:to>
      <xdr:col>7</xdr:col>
      <xdr:colOff>389899</xdr:colOff>
      <xdr:row>21</xdr:row>
      <xdr:rowOff>120805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9A5E83C-2E86-05F8-3222-40254A87B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116" y="1663390"/>
          <a:ext cx="2642320" cy="3726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08842F-7109-44C1-B356-7CBE9FCB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89534"/>
          <a:ext cx="768222" cy="704851"/>
        </a:xfrm>
        <a:prstGeom prst="rect">
          <a:avLst/>
        </a:prstGeom>
      </xdr:spPr>
    </xdr:pic>
    <xdr:clientData/>
  </xdr:twoCellAnchor>
  <xdr:twoCellAnchor editAs="oneCell">
    <xdr:from>
      <xdr:col>3</xdr:col>
      <xdr:colOff>145774</xdr:colOff>
      <xdr:row>1</xdr:row>
      <xdr:rowOff>10160</xdr:rowOff>
    </xdr:from>
    <xdr:to>
      <xdr:col>5</xdr:col>
      <xdr:colOff>133884</xdr:colOff>
      <xdr:row>2</xdr:row>
      <xdr:rowOff>375920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59BE234-9B32-46B9-9BE7-5408FFB22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94" y="71120"/>
          <a:ext cx="917750" cy="746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28574</xdr:rowOff>
    </xdr:from>
    <xdr:to>
      <xdr:col>2</xdr:col>
      <xdr:colOff>410082</xdr:colOff>
      <xdr:row>2</xdr:row>
      <xdr:rowOff>352425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9C73A6-5966-488D-8E66-E153A750A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89534"/>
          <a:ext cx="768222" cy="704851"/>
        </a:xfrm>
        <a:prstGeom prst="rect">
          <a:avLst/>
        </a:prstGeom>
      </xdr:spPr>
    </xdr:pic>
    <xdr:clientData/>
  </xdr:twoCellAnchor>
  <xdr:twoCellAnchor editAs="oneCell">
    <xdr:from>
      <xdr:col>3</xdr:col>
      <xdr:colOff>145774</xdr:colOff>
      <xdr:row>1</xdr:row>
      <xdr:rowOff>10160</xdr:rowOff>
    </xdr:from>
    <xdr:to>
      <xdr:col>5</xdr:col>
      <xdr:colOff>64862</xdr:colOff>
      <xdr:row>2</xdr:row>
      <xdr:rowOff>375920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9FC1AB0-9963-44FE-92BC-BAD9C6384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4494" y="71120"/>
          <a:ext cx="917750" cy="7467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T25"/>
  <sheetViews>
    <sheetView topLeftCell="D1" zoomScale="90" zoomScaleNormal="90" zoomScaleSheetLayoutView="100" workbookViewId="0">
      <selection activeCell="G12" sqref="G12"/>
    </sheetView>
  </sheetViews>
  <sheetFormatPr baseColWidth="10" defaultColWidth="11.44140625" defaultRowHeight="15.6" x14ac:dyDescent="0.25"/>
  <cols>
    <col min="1" max="1" width="1.6640625" style="1" customWidth="1"/>
    <col min="2" max="2" width="5.6640625" style="1" customWidth="1"/>
    <col min="3" max="3" width="9.6640625" style="1" customWidth="1"/>
    <col min="4" max="4" width="6.6640625" style="73" customWidth="1"/>
    <col min="5" max="5" width="6.6640625" style="1" customWidth="1"/>
    <col min="6" max="6" width="20.109375" style="1" customWidth="1"/>
    <col min="7" max="7" width="16" style="1" customWidth="1"/>
    <col min="8" max="8" width="7.77734375" style="61" customWidth="1"/>
    <col min="9" max="9" width="36.6640625" style="66" bestFit="1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hidden="1" customWidth="1"/>
    <col min="22" max="22" width="12" style="69" hidden="1" customWidth="1"/>
    <col min="23" max="23" width="11.33203125" style="1" customWidth="1"/>
    <col min="24" max="24" width="20.6640625" style="3" customWidth="1"/>
    <col min="25" max="25" width="41" style="3" customWidth="1"/>
    <col min="26" max="26" width="32.109375" style="3" hidden="1" customWidth="1"/>
    <col min="27" max="27" width="13.88671875" style="3" hidden="1" customWidth="1"/>
    <col min="28" max="40" width="11.44140625" style="22" hidden="1" customWidth="1"/>
    <col min="41" max="41" width="11.44140625" style="22" customWidth="1"/>
    <col min="42" max="107" width="11.44140625" style="22"/>
    <col min="108" max="16384" width="11.44140625" style="1"/>
  </cols>
  <sheetData>
    <row r="1" spans="1:124" ht="5.0999999999999996" customHeight="1" x14ac:dyDescent="0.25"/>
    <row r="2" spans="1:124" s="7" customFormat="1" ht="30" customHeight="1" x14ac:dyDescent="0.25">
      <c r="D2" s="346" t="s">
        <v>127</v>
      </c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8"/>
      <c r="X2" s="55"/>
      <c r="Y2" s="55"/>
      <c r="Z2" s="55"/>
      <c r="AA2" s="5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</row>
    <row r="3" spans="1:124" s="7" customFormat="1" ht="30" customHeight="1" x14ac:dyDescent="0.25">
      <c r="D3" s="355" t="s">
        <v>259</v>
      </c>
      <c r="E3" s="349"/>
      <c r="F3" s="349"/>
      <c r="G3" s="349"/>
      <c r="H3" s="349"/>
      <c r="I3" s="349"/>
      <c r="J3" s="349"/>
      <c r="K3" s="349"/>
      <c r="L3" s="349"/>
      <c r="M3" s="349"/>
      <c r="N3" s="349" t="s">
        <v>128</v>
      </c>
      <c r="O3" s="349"/>
      <c r="P3" s="349"/>
      <c r="Q3" s="349"/>
      <c r="R3" s="349"/>
      <c r="S3" s="349"/>
      <c r="T3" s="63"/>
      <c r="U3" s="70"/>
      <c r="V3" s="350">
        <v>46193</v>
      </c>
      <c r="W3" s="351"/>
      <c r="X3" s="55"/>
      <c r="Y3" s="55"/>
      <c r="Z3" s="55"/>
      <c r="AA3" s="55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</row>
    <row r="4" spans="1:124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56"/>
      <c r="AA4" s="56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</row>
    <row r="5" spans="1:124" s="10" customFormat="1" ht="18" customHeight="1" x14ac:dyDescent="0.25">
      <c r="A5" s="9"/>
      <c r="B5" s="90" t="s">
        <v>134</v>
      </c>
      <c r="C5" s="83" t="s">
        <v>6</v>
      </c>
      <c r="D5" s="91" t="s">
        <v>131</v>
      </c>
      <c r="E5" s="83" t="s">
        <v>24</v>
      </c>
      <c r="F5" s="83"/>
      <c r="G5" s="83" t="s">
        <v>136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64"/>
      <c r="AA5" s="65"/>
      <c r="AB5" s="48" t="s">
        <v>105</v>
      </c>
      <c r="AC5" s="48" t="s">
        <v>106</v>
      </c>
      <c r="AD5" s="48" t="s">
        <v>107</v>
      </c>
      <c r="AE5" s="48" t="s">
        <v>108</v>
      </c>
      <c r="AF5" s="48" t="s">
        <v>109</v>
      </c>
      <c r="AG5" s="48" t="s">
        <v>110</v>
      </c>
      <c r="AH5" s="48" t="s">
        <v>111</v>
      </c>
      <c r="AI5" s="48" t="s">
        <v>112</v>
      </c>
      <c r="AJ5" s="48" t="s">
        <v>113</v>
      </c>
      <c r="AK5" s="44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</row>
    <row r="6" spans="1:124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56"/>
      <c r="AA6" s="56"/>
      <c r="AB6" s="45" t="s">
        <v>114</v>
      </c>
      <c r="AC6" s="45" t="s">
        <v>115</v>
      </c>
      <c r="AD6" s="45" t="s">
        <v>107</v>
      </c>
      <c r="AE6" s="45" t="s">
        <v>108</v>
      </c>
      <c r="AF6" s="45" t="s">
        <v>109</v>
      </c>
      <c r="AG6" s="45" t="s">
        <v>110</v>
      </c>
      <c r="AH6" s="45" t="s">
        <v>111</v>
      </c>
      <c r="AI6" s="45" t="s">
        <v>112</v>
      </c>
      <c r="AJ6" s="45" t="s">
        <v>113</v>
      </c>
      <c r="AK6" s="45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</row>
    <row r="7" spans="1:124" s="4" customFormat="1" ht="30" customHeight="1" x14ac:dyDescent="0.25">
      <c r="B7" s="188">
        <v>1</v>
      </c>
      <c r="C7" s="189"/>
      <c r="D7" s="190"/>
      <c r="E7" s="191" t="s">
        <v>130</v>
      </c>
      <c r="F7" s="293" t="s">
        <v>165</v>
      </c>
      <c r="G7" s="294" t="s">
        <v>166</v>
      </c>
      <c r="H7" s="295">
        <v>2008</v>
      </c>
      <c r="I7" s="296" t="s">
        <v>157</v>
      </c>
      <c r="J7" s="191" t="s">
        <v>270</v>
      </c>
      <c r="K7" s="194">
        <v>60.5</v>
      </c>
      <c r="L7" s="195">
        <v>50</v>
      </c>
      <c r="M7" s="195">
        <v>54</v>
      </c>
      <c r="N7" s="324">
        <v>-57</v>
      </c>
      <c r="O7" s="279">
        <f t="shared" ref="O7:O21" si="0">IF(E7="","",IF(MAXA(L7:N7)&lt;=0,0,MAXA(L7:N7)))</f>
        <v>54</v>
      </c>
      <c r="P7" s="195">
        <v>65</v>
      </c>
      <c r="Q7" s="195">
        <v>68</v>
      </c>
      <c r="R7" s="195">
        <v>-72</v>
      </c>
      <c r="S7" s="196">
        <f t="shared" ref="S7:S22" si="1">IF(E7="","",IF(MAXA(P7:R7)&lt;=0,0,MAXA(P7:R7)))</f>
        <v>68</v>
      </c>
      <c r="T7" s="197">
        <f t="shared" ref="T7:T21" si="2">IF(E7="","",IF(OR(O7=0,S7=0),0,O7+S7))</f>
        <v>122</v>
      </c>
      <c r="U7" s="198" t="str">
        <f t="shared" ref="U7:U21" si="3">+CONCATENATE(AM7," ",AN7)</f>
        <v>NAT + 12</v>
      </c>
      <c r="V7" s="199" t="str">
        <f>IF(E7=0," ",IF(E7="H",IF(H7&lt;=SENIORS_Min,VLOOKUP(K7,Minimas!$A$15:$F$29,6),IF(AND(H7&gt;=U20_Min,H7&lt;=U20_Max),VLOOKUP(K7,Minimas!$A$15:$F$29,5),IF(AND(H7&gt;=U17_Min,H7&lt;=U17_Max),VLOOKUP(K7,Minimas!$A$15:$F$29,4),IF(AND(H7&gt;=U15_Min,H7&lt;=U15_Max),VLOOKUP(K7,Minimas!$A$15:$F$29,3),VLOOKUP(K7,Minimas!$A$15:$F$29,2))))),IF(H7&lt;=SENIORS_Min,VLOOKUP(K7,Minimas!$G$15:$L$29,6),IF(AND(H7&gt;=U20_Min,H7&lt;=U20_Max),VLOOKUP(K7,Minimas!$G$15:$L$29,5),IF(AND(H7&gt;=U17_Min,H7&lt;=U17_Max),VLOOKUP(K7,Minimas!$G$15:$L$29,4),IF(AND(H7&gt;=U15_Min,H7&lt;=U15_Max),VLOOKUP(K7,Minimas!$G$15:$L$29,3),VLOOKUP(K7,Minimas!$G$15:$L$29,2)))))))</f>
        <v>U15 F64</v>
      </c>
      <c r="W7" s="200">
        <f t="shared" ref="W7:W21" si="4">IF(E7=" "," ",IF(E7="H",10^(0.722762521*LOG(K7/193.609)^2)*T7,IF(E7="F",10^(0.787004341* LOG(K7/153.757)^2)*T7,"")))</f>
        <v>164.24755597365228</v>
      </c>
      <c r="X7" s="82"/>
      <c r="Y7" s="80"/>
      <c r="Z7" s="80"/>
      <c r="AA7" s="57"/>
      <c r="AB7" s="46">
        <f>T7-HLOOKUP(V7,Minimas!$C$3:$CD$12,2,FALSE)</f>
        <v>77</v>
      </c>
      <c r="AC7" s="46">
        <f>T7-HLOOKUP(V7,Minimas!$C$3:$CD$12,3,FALSE)</f>
        <v>67</v>
      </c>
      <c r="AD7" s="46">
        <f>T7-HLOOKUP(V7,Minimas!$C$3:$CD$12,4,FALSE)</f>
        <v>55</v>
      </c>
      <c r="AE7" s="46">
        <f>T7-HLOOKUP(V7,Minimas!$C$3:$CD$12,5,FALSE)</f>
        <v>42</v>
      </c>
      <c r="AF7" s="46">
        <f>T7-HLOOKUP(V7,Minimas!$C$3:$CD$12,6,FALSE)</f>
        <v>27</v>
      </c>
      <c r="AG7" s="46">
        <f>T7-HLOOKUP(V7,Minimas!$C$3:$CD$12,7,FALSE)</f>
        <v>12</v>
      </c>
      <c r="AH7" s="46">
        <f>T7-HLOOKUP(V7,Minimas!$C$3:$CD$12,8,FALSE)</f>
        <v>-3</v>
      </c>
      <c r="AI7" s="46">
        <f>T7-HLOOKUP(V7,Minimas!$C$3:$CD$12,9,FALSE)</f>
        <v>-23</v>
      </c>
      <c r="AJ7" s="46">
        <f>T7-HLOOKUP(V7,Minimas!$C$3:$CD$12,10,FALSE)</f>
        <v>-9877</v>
      </c>
      <c r="AK7" s="47" t="str">
        <f t="shared" ref="AK7:AK22" si="5">IF(E7=0," ",IF(AJ7&gt;=0,$AJ$5,IF(AI7&gt;=0,$AI$5,IF(AH7&gt;=0,$AH$5,IF(AG7&gt;=0,$AG$5,IF(AF7&gt;=0,$AF$5,IF(AE7&gt;=0,$AE$5,IF(AD7&gt;=0,$AD$5,IF(AC7&gt;=0,$AC$5,$AB$5)))))))))</f>
        <v>NAT +</v>
      </c>
      <c r="AL7" s="47"/>
      <c r="AM7" s="47" t="str">
        <f t="shared" ref="AM7:AM22" si="6">IF(AK7="","",AK7)</f>
        <v>NAT +</v>
      </c>
      <c r="AN7" s="47">
        <f t="shared" ref="AN7:AN22" si="7">IF(E7=0," ",IF(AJ7&gt;=0,AJ7,IF(AI7&gt;=0,AI7,IF(AH7&gt;=0,AH7,IF(AG7&gt;=0,AG7,IF(AF7&gt;=0,AF7,IF(AE7&gt;=0,AE7,IF(AD7&gt;=0,AD7,IF(AC7&gt;=0,AC7,AB7)))))))))</f>
        <v>12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</row>
    <row r="8" spans="1:124" s="4" customFormat="1" ht="30" customHeight="1" x14ac:dyDescent="0.25">
      <c r="B8" s="188">
        <v>2</v>
      </c>
      <c r="C8" s="189"/>
      <c r="D8" s="190"/>
      <c r="E8" s="191" t="s">
        <v>130</v>
      </c>
      <c r="F8" s="293" t="s">
        <v>167</v>
      </c>
      <c r="G8" s="294" t="s">
        <v>168</v>
      </c>
      <c r="H8" s="295">
        <v>2011</v>
      </c>
      <c r="I8" s="296" t="s">
        <v>169</v>
      </c>
      <c r="J8" s="191" t="s">
        <v>270</v>
      </c>
      <c r="K8" s="194">
        <v>52.8</v>
      </c>
      <c r="L8" s="195">
        <v>55</v>
      </c>
      <c r="M8" s="195">
        <v>-57</v>
      </c>
      <c r="N8" s="324">
        <v>-57</v>
      </c>
      <c r="O8" s="279">
        <f t="shared" si="0"/>
        <v>55</v>
      </c>
      <c r="P8" s="195">
        <v>-68</v>
      </c>
      <c r="Q8" s="195">
        <v>68</v>
      </c>
      <c r="R8" s="195">
        <v>-70</v>
      </c>
      <c r="S8" s="196">
        <f t="shared" si="1"/>
        <v>68</v>
      </c>
      <c r="T8" s="197">
        <f t="shared" si="2"/>
        <v>123</v>
      </c>
      <c r="U8" s="198" t="e">
        <f t="shared" si="3"/>
        <v>#N/A</v>
      </c>
      <c r="V8" s="199" t="str">
        <f>IF(E8=0," ",IF(E8="H",IF(H8&lt;=SENIORS_Min,VLOOKUP(K8,Minimas!$A$15:$F$29,6),IF(AND(H8&gt;=U20_Min,H8&lt;=U20_Max),VLOOKUP(K8,Minimas!$A$15:$F$29,5),IF(AND(H8&gt;=U17_Min,H8&lt;=U17_Max),VLOOKUP(K8,Minimas!$A$15:$F$29,4),IF(AND(H8&gt;=U15_Min,H8&lt;=U15_Max),VLOOKUP(K8,Minimas!$A$15:$F$29,3),VLOOKUP(K8,Minimas!$A$15:$F$29,2))))),IF(H8&lt;=SENIORS_Min,VLOOKUP(K8,Minimas!$G$15:$L$29,6),IF(AND(H8&gt;=U20_Min,H8&lt;=U20_Max),VLOOKUP(K8,Minimas!$G$15:$L$29,5),IF(AND(H8&gt;=U17_Min,H8&lt;=U17_Max),VLOOKUP(K8,Minimas!$G$15:$L$29,4),IF(AND(H8&gt;=U15_Min,H8&lt;=U15_Max),VLOOKUP(K8,Minimas!$G$15:$L$29,3),VLOOKUP(K8,Minimas!$G$15:$L$29,2)))))))</f>
        <v>NON</v>
      </c>
      <c r="W8" s="200">
        <f t="shared" si="4"/>
        <v>181.75685918191846</v>
      </c>
      <c r="X8" s="82"/>
      <c r="Y8" s="80"/>
      <c r="Z8" s="80"/>
      <c r="AA8" s="57"/>
      <c r="AB8" s="46" t="e">
        <f>T8-HLOOKUP(V8,Minimas!$C$3:$CD$12,2,FALSE)</f>
        <v>#N/A</v>
      </c>
      <c r="AC8" s="46" t="e">
        <f>T8-HLOOKUP(V8,Minimas!$C$3:$CD$12,3,FALSE)</f>
        <v>#N/A</v>
      </c>
      <c r="AD8" s="46" t="e">
        <f>T8-HLOOKUP(V8,Minimas!$C$3:$CD$12,4,FALSE)</f>
        <v>#N/A</v>
      </c>
      <c r="AE8" s="46" t="e">
        <f>T8-HLOOKUP(V8,Minimas!$C$3:$CD$12,5,FALSE)</f>
        <v>#N/A</v>
      </c>
      <c r="AF8" s="46" t="e">
        <f>T8-HLOOKUP(V8,Minimas!$C$3:$CD$12,6,FALSE)</f>
        <v>#N/A</v>
      </c>
      <c r="AG8" s="46" t="e">
        <f>T8-HLOOKUP(V8,Minimas!$C$3:$CD$12,7,FALSE)</f>
        <v>#N/A</v>
      </c>
      <c r="AH8" s="46" t="e">
        <f>T8-HLOOKUP(V8,Minimas!$C$3:$CD$12,8,FALSE)</f>
        <v>#N/A</v>
      </c>
      <c r="AI8" s="46" t="e">
        <f>T8-HLOOKUP(V8,Minimas!$C$3:$CD$12,9,FALSE)</f>
        <v>#N/A</v>
      </c>
      <c r="AJ8" s="46" t="e">
        <f>T8-HLOOKUP(V8,Minimas!$C$3:$CD$12,10,FALSE)</f>
        <v>#N/A</v>
      </c>
      <c r="AK8" s="47" t="e">
        <f t="shared" si="5"/>
        <v>#N/A</v>
      </c>
      <c r="AL8" s="47"/>
      <c r="AM8" s="47" t="e">
        <f t="shared" si="6"/>
        <v>#N/A</v>
      </c>
      <c r="AN8" s="47" t="e">
        <f t="shared" si="7"/>
        <v>#N/A</v>
      </c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</row>
    <row r="9" spans="1:124" s="4" customFormat="1" ht="30" customHeight="1" x14ac:dyDescent="0.25">
      <c r="B9" s="188">
        <v>3</v>
      </c>
      <c r="C9" s="189"/>
      <c r="D9" s="190"/>
      <c r="E9" s="191" t="s">
        <v>126</v>
      </c>
      <c r="F9" s="293" t="s">
        <v>170</v>
      </c>
      <c r="G9" s="294" t="s">
        <v>171</v>
      </c>
      <c r="H9" s="295">
        <v>2008</v>
      </c>
      <c r="I9" s="296" t="s">
        <v>172</v>
      </c>
      <c r="J9" s="191" t="s">
        <v>270</v>
      </c>
      <c r="K9" s="194">
        <v>61.8</v>
      </c>
      <c r="L9" s="195">
        <v>52</v>
      </c>
      <c r="M9" s="195">
        <v>55</v>
      </c>
      <c r="N9" s="195">
        <v>57</v>
      </c>
      <c r="O9" s="279">
        <f t="shared" si="0"/>
        <v>57</v>
      </c>
      <c r="P9" s="195">
        <v>62</v>
      </c>
      <c r="Q9" s="195">
        <v>-65</v>
      </c>
      <c r="R9" s="195">
        <v>-66</v>
      </c>
      <c r="S9" s="196">
        <f t="shared" si="1"/>
        <v>62</v>
      </c>
      <c r="T9" s="197">
        <f t="shared" si="2"/>
        <v>119</v>
      </c>
      <c r="U9" s="198" t="str">
        <f t="shared" si="3"/>
        <v>NAT + 9</v>
      </c>
      <c r="V9" s="199" t="str">
        <f>IF(E9=0," ",IF(E9="H",IF(H9&lt;=SENIORS_Min,VLOOKUP(K9,Minimas!$A$15:$F$29,6),IF(AND(H9&gt;=U20_Min,H9&lt;=U20_Max),VLOOKUP(K9,Minimas!$A$15:$F$29,5),IF(AND(H9&gt;=U17_Min,H9&lt;=U17_Max),VLOOKUP(K9,Minimas!$A$15:$F$29,4),IF(AND(H9&gt;=U15_Min,H9&lt;=U15_Max),VLOOKUP(K9,Minimas!$A$15:$F$29,3),VLOOKUP(K9,Minimas!$A$15:$F$29,2))))),IF(H9&lt;=SENIORS_Min,VLOOKUP(K9,Minimas!$G$15:$L$29,6),IF(AND(H9&gt;=U20_Min,H9&lt;=U20_Max),VLOOKUP(K9,Minimas!$G$15:$L$29,5),IF(AND(H9&gt;=U17_Min,H9&lt;=U17_Max),VLOOKUP(K9,Minimas!$G$15:$L$29,4),IF(AND(H9&gt;=U15_Min,H9&lt;=U15_Max),VLOOKUP(K9,Minimas!$G$15:$L$29,3),VLOOKUP(K9,Minimas!$G$15:$L$29,2)))))))</f>
        <v>U15 F64</v>
      </c>
      <c r="W9" s="200">
        <f t="shared" si="4"/>
        <v>158.07606853932646</v>
      </c>
      <c r="X9" s="82"/>
      <c r="Y9" s="80"/>
      <c r="Z9" s="80"/>
      <c r="AA9" s="57"/>
      <c r="AB9" s="46">
        <f>T9-HLOOKUP(V9,Minimas!$C$3:$CD$12,2,FALSE)</f>
        <v>74</v>
      </c>
      <c r="AC9" s="46">
        <f>T9-HLOOKUP(V9,Minimas!$C$3:$CD$12,3,FALSE)</f>
        <v>64</v>
      </c>
      <c r="AD9" s="46">
        <f>T9-HLOOKUP(V9,Minimas!$C$3:$CD$12,4,FALSE)</f>
        <v>52</v>
      </c>
      <c r="AE9" s="46">
        <f>T9-HLOOKUP(V9,Minimas!$C$3:$CD$12,5,FALSE)</f>
        <v>39</v>
      </c>
      <c r="AF9" s="46">
        <f>T9-HLOOKUP(V9,Minimas!$C$3:$CD$12,6,FALSE)</f>
        <v>24</v>
      </c>
      <c r="AG9" s="46">
        <f>T9-HLOOKUP(V9,Minimas!$C$3:$CD$12,7,FALSE)</f>
        <v>9</v>
      </c>
      <c r="AH9" s="46">
        <f>T9-HLOOKUP(V9,Minimas!$C$3:$CD$12,8,FALSE)</f>
        <v>-6</v>
      </c>
      <c r="AI9" s="46">
        <f>T9-HLOOKUP(V9,Minimas!$C$3:$CD$12,9,FALSE)</f>
        <v>-26</v>
      </c>
      <c r="AJ9" s="46">
        <f>T9-HLOOKUP(V9,Minimas!$C$3:$CD$12,10,FALSE)</f>
        <v>-9880</v>
      </c>
      <c r="AK9" s="47" t="str">
        <f t="shared" si="5"/>
        <v>NAT +</v>
      </c>
      <c r="AL9" s="47"/>
      <c r="AM9" s="47" t="str">
        <f t="shared" si="6"/>
        <v>NAT +</v>
      </c>
      <c r="AN9" s="47">
        <f t="shared" si="7"/>
        <v>9</v>
      </c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</row>
    <row r="10" spans="1:124" s="4" customFormat="1" ht="30" customHeight="1" x14ac:dyDescent="0.25">
      <c r="B10" s="188">
        <v>4</v>
      </c>
      <c r="C10" s="189"/>
      <c r="D10" s="190"/>
      <c r="E10" s="191" t="s">
        <v>130</v>
      </c>
      <c r="F10" s="293" t="s">
        <v>173</v>
      </c>
      <c r="G10" s="294" t="s">
        <v>174</v>
      </c>
      <c r="H10" s="295">
        <v>2012</v>
      </c>
      <c r="I10" s="296" t="s">
        <v>169</v>
      </c>
      <c r="J10" s="191" t="s">
        <v>270</v>
      </c>
      <c r="K10" s="194">
        <v>55.45</v>
      </c>
      <c r="L10" s="195">
        <v>56</v>
      </c>
      <c r="M10" s="195">
        <v>58</v>
      </c>
      <c r="N10" s="195">
        <v>60</v>
      </c>
      <c r="O10" s="279">
        <f t="shared" si="0"/>
        <v>60</v>
      </c>
      <c r="P10" s="195">
        <v>66</v>
      </c>
      <c r="Q10" s="195">
        <v>69</v>
      </c>
      <c r="R10" s="195">
        <v>-72</v>
      </c>
      <c r="S10" s="196">
        <f t="shared" si="1"/>
        <v>69</v>
      </c>
      <c r="T10" s="197">
        <f t="shared" si="2"/>
        <v>129</v>
      </c>
      <c r="U10" s="198" t="e">
        <f t="shared" si="3"/>
        <v>#N/A</v>
      </c>
      <c r="V10" s="199" t="str">
        <f>IF(E10=0," ",IF(E10="H",IF(H10&lt;=SENIORS_Min,VLOOKUP(K10,Minimas!$A$15:$F$29,6),IF(AND(H10&gt;=U20_Min,H10&lt;=U20_Max),VLOOKUP(K10,Minimas!$A$15:$F$29,5),IF(AND(H10&gt;=U17_Min,H10&lt;=U17_Max),VLOOKUP(K10,Minimas!$A$15:$F$29,4),IF(AND(H10&gt;=U15_Min,H10&lt;=U15_Max),VLOOKUP(K10,Minimas!$A$15:$F$29,3),VLOOKUP(K10,Minimas!$A$15:$F$29,2))))),IF(H10&lt;=SENIORS_Min,VLOOKUP(K10,Minimas!$G$15:$L$29,6),IF(AND(H10&gt;=U20_Min,H10&lt;=U20_Max),VLOOKUP(K10,Minimas!$G$15:$L$29,5),IF(AND(H10&gt;=U17_Min,H10&lt;=U17_Max),VLOOKUP(K10,Minimas!$G$15:$L$29,4),IF(AND(H10&gt;=U15_Min,H10&lt;=U15_Max),VLOOKUP(K10,Minimas!$G$15:$L$29,3),VLOOKUP(K10,Minimas!$G$15:$L$29,2)))))))</f>
        <v>NON</v>
      </c>
      <c r="W10" s="200">
        <f t="shared" si="4"/>
        <v>184.07383139476144</v>
      </c>
      <c r="X10" s="81"/>
      <c r="Y10" s="75"/>
      <c r="Z10" s="75"/>
      <c r="AA10" s="57"/>
      <c r="AB10" s="46" t="e">
        <f>T10-HLOOKUP(V10,Minimas!$C$3:$CD$12,2,FALSE)</f>
        <v>#N/A</v>
      </c>
      <c r="AC10" s="46" t="e">
        <f>T10-HLOOKUP(V10,Minimas!$C$3:$CD$12,3,FALSE)</f>
        <v>#N/A</v>
      </c>
      <c r="AD10" s="46" t="e">
        <f>T10-HLOOKUP(V10,Minimas!$C$3:$CD$12,4,FALSE)</f>
        <v>#N/A</v>
      </c>
      <c r="AE10" s="46" t="e">
        <f>T10-HLOOKUP(V10,Minimas!$C$3:$CD$12,5,FALSE)</f>
        <v>#N/A</v>
      </c>
      <c r="AF10" s="46" t="e">
        <f>T10-HLOOKUP(V10,Minimas!$C$3:$CD$12,6,FALSE)</f>
        <v>#N/A</v>
      </c>
      <c r="AG10" s="46" t="e">
        <f>T10-HLOOKUP(V10,Minimas!$C$3:$CD$12,7,FALSE)</f>
        <v>#N/A</v>
      </c>
      <c r="AH10" s="46" t="e">
        <f>T10-HLOOKUP(V10,Minimas!$C$3:$CD$12,8,FALSE)</f>
        <v>#N/A</v>
      </c>
      <c r="AI10" s="46" t="e">
        <f>T10-HLOOKUP(V10,Minimas!$C$3:$CD$12,9,FALSE)</f>
        <v>#N/A</v>
      </c>
      <c r="AJ10" s="46" t="e">
        <f>T10-HLOOKUP(V10,Minimas!$C$3:$CD$12,10,FALSE)</f>
        <v>#N/A</v>
      </c>
      <c r="AK10" s="47" t="e">
        <f t="shared" si="5"/>
        <v>#N/A</v>
      </c>
      <c r="AL10" s="47"/>
      <c r="AM10" s="47" t="e">
        <f t="shared" si="6"/>
        <v>#N/A</v>
      </c>
      <c r="AN10" s="47" t="e">
        <f t="shared" si="7"/>
        <v>#N/A</v>
      </c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</row>
    <row r="11" spans="1:124" s="4" customFormat="1" ht="30" customHeight="1" x14ac:dyDescent="0.25">
      <c r="B11" s="188">
        <v>5</v>
      </c>
      <c r="C11" s="189"/>
      <c r="D11" s="190"/>
      <c r="E11" s="191" t="s">
        <v>126</v>
      </c>
      <c r="F11" s="293" t="s">
        <v>176</v>
      </c>
      <c r="G11" s="294" t="s">
        <v>177</v>
      </c>
      <c r="H11" s="295">
        <v>1992</v>
      </c>
      <c r="I11" s="296" t="s">
        <v>178</v>
      </c>
      <c r="J11" s="191" t="s">
        <v>270</v>
      </c>
      <c r="K11" s="194">
        <v>68.8</v>
      </c>
      <c r="L11" s="195">
        <v>63</v>
      </c>
      <c r="M11" s="195">
        <v>-66</v>
      </c>
      <c r="N11" s="195">
        <v>66</v>
      </c>
      <c r="O11" s="279">
        <f t="shared" si="0"/>
        <v>66</v>
      </c>
      <c r="P11" s="195">
        <v>-75</v>
      </c>
      <c r="Q11" s="195">
        <v>75</v>
      </c>
      <c r="R11" s="195">
        <v>80</v>
      </c>
      <c r="S11" s="196">
        <f t="shared" si="1"/>
        <v>80</v>
      </c>
      <c r="T11" s="197">
        <f t="shared" si="2"/>
        <v>146</v>
      </c>
      <c r="U11" s="198" t="str">
        <f t="shared" si="3"/>
        <v>IRG + 16</v>
      </c>
      <c r="V11" s="199" t="str">
        <f>IF(E11=0," ",IF(E11="H",IF(H11&lt;=SENIORS_Min,VLOOKUP(K11,Minimas!$A$15:$F$29,6),IF(AND(H11&gt;=U20_Min,H11&lt;=U20_Max),VLOOKUP(K11,Minimas!$A$15:$F$29,5),IF(AND(H11&gt;=U17_Min,H11&lt;=U17_Max),VLOOKUP(K11,Minimas!$A$15:$F$29,4),IF(AND(H11&gt;=U15_Min,H11&lt;=U15_Max),VLOOKUP(K11,Minimas!$A$15:$F$29,3),VLOOKUP(K11,Minimas!$A$15:$F$29,2))))),IF(H11&lt;=SENIORS_Min,VLOOKUP(K11,Minimas!$G$15:$L$29,6),IF(AND(H11&gt;=U20_Min,H11&lt;=U20_Max),VLOOKUP(K11,Minimas!$G$15:$L$29,5),IF(AND(H11&gt;=U17_Min,H11&lt;=U17_Max),VLOOKUP(K11,Minimas!$G$15:$L$29,4),IF(AND(H11&gt;=U15_Min,H11&lt;=U15_Max),VLOOKUP(K11,Minimas!$G$15:$L$29,3),VLOOKUP(K11,Minimas!$G$15:$L$29,2)))))))</f>
        <v>SE F71</v>
      </c>
      <c r="W11" s="200">
        <f t="shared" si="4"/>
        <v>182.11520462683154</v>
      </c>
      <c r="X11" s="82"/>
      <c r="Y11" s="80"/>
      <c r="Z11" s="80"/>
      <c r="AA11" s="57"/>
      <c r="AB11" s="46">
        <f>T11-HLOOKUP(V11,Minimas!$C$3:$CD$12,2,FALSE)</f>
        <v>71</v>
      </c>
      <c r="AC11" s="46">
        <f>T11-HLOOKUP(V11,Minimas!$C$3:$CD$12,3,FALSE)</f>
        <v>56</v>
      </c>
      <c r="AD11" s="46">
        <f>T11-HLOOKUP(V11,Minimas!$C$3:$CD$12,4,FALSE)</f>
        <v>39</v>
      </c>
      <c r="AE11" s="46">
        <f>T11-HLOOKUP(V11,Minimas!$C$3:$CD$12,5,FALSE)</f>
        <v>16</v>
      </c>
      <c r="AF11" s="46">
        <f>T11-HLOOKUP(V11,Minimas!$C$3:$CD$12,6,FALSE)</f>
        <v>-6</v>
      </c>
      <c r="AG11" s="46">
        <f>T11-HLOOKUP(V11,Minimas!$C$3:$CD$12,7,FALSE)</f>
        <v>-26</v>
      </c>
      <c r="AH11" s="46">
        <f>T11-HLOOKUP(V11,Minimas!$C$3:$CD$12,8,FALSE)</f>
        <v>-46</v>
      </c>
      <c r="AI11" s="46">
        <f>T11-HLOOKUP(V11,Minimas!$C$3:$CD$12,9,FALSE)</f>
        <v>-66</v>
      </c>
      <c r="AJ11" s="46">
        <f>T11-HLOOKUP(V11,Minimas!$C$3:$CD$12,10,FALSE)</f>
        <v>-9853</v>
      </c>
      <c r="AK11" s="47" t="str">
        <f t="shared" si="5"/>
        <v>IRG +</v>
      </c>
      <c r="AL11" s="47"/>
      <c r="AM11" s="47" t="str">
        <f t="shared" si="6"/>
        <v>IRG +</v>
      </c>
      <c r="AN11" s="47">
        <f t="shared" si="7"/>
        <v>16</v>
      </c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</row>
    <row r="12" spans="1:124" s="4" customFormat="1" ht="30" customHeight="1" x14ac:dyDescent="0.25">
      <c r="B12" s="188">
        <v>6</v>
      </c>
      <c r="C12" s="189"/>
      <c r="D12" s="201"/>
      <c r="E12" s="191" t="s">
        <v>126</v>
      </c>
      <c r="F12" s="293" t="s">
        <v>179</v>
      </c>
      <c r="G12" s="294" t="s">
        <v>180</v>
      </c>
      <c r="H12" s="295">
        <v>2007</v>
      </c>
      <c r="I12" s="296" t="s">
        <v>181</v>
      </c>
      <c r="J12" s="191" t="s">
        <v>270</v>
      </c>
      <c r="K12" s="194">
        <v>48.4</v>
      </c>
      <c r="L12" s="195">
        <v>60</v>
      </c>
      <c r="M12" s="195">
        <v>63</v>
      </c>
      <c r="N12" s="195">
        <v>-66</v>
      </c>
      <c r="O12" s="279">
        <f t="shared" si="0"/>
        <v>63</v>
      </c>
      <c r="P12" s="195">
        <v>-76</v>
      </c>
      <c r="Q12" s="195">
        <v>76</v>
      </c>
      <c r="R12" s="195">
        <v>-79</v>
      </c>
      <c r="S12" s="196">
        <f t="shared" si="1"/>
        <v>76</v>
      </c>
      <c r="T12" s="197">
        <f t="shared" si="2"/>
        <v>139</v>
      </c>
      <c r="U12" s="198" t="e">
        <f t="shared" si="3"/>
        <v>#N/A</v>
      </c>
      <c r="V12" s="199" t="str">
        <f>IF(E12=0," ",IF(E12="H",IF(H12&lt;=SENIORS_Min,VLOOKUP(K12,Minimas!$A$15:$F$29,6),IF(AND(H12&gt;=U20_Min,H12&lt;=U20_Max),VLOOKUP(K12,Minimas!$A$15:$F$29,5),IF(AND(H12&gt;=U17_Min,H12&lt;=U17_Max),VLOOKUP(K12,Minimas!$A$15:$F$29,4),IF(AND(H12&gt;=U15_Min,H12&lt;=U15_Max),VLOOKUP(K12,Minimas!$A$15:$F$29,3),VLOOKUP(K12,Minimas!$A$15:$F$29,2))))),IF(H12&lt;=SENIORS_Min,VLOOKUP(K12,Minimas!$G$15:$L$29,6),IF(AND(H12&gt;=U20_Min,H12&lt;=U20_Max),VLOOKUP(K12,Minimas!$G$15:$L$29,5),IF(AND(H12&gt;=U17_Min,H12&lt;=U17_Max),VLOOKUP(K12,Minimas!$G$15:$L$29,4),IF(AND(H12&gt;=U15_Min,H12&lt;=U15_Max),VLOOKUP(K12,Minimas!$G$15:$L$29,3),VLOOKUP(K12,Minimas!$G$15:$L$29,2)))))))</f>
        <v>U17 F53</v>
      </c>
      <c r="W12" s="200">
        <f t="shared" si="4"/>
        <v>219.44958982175677</v>
      </c>
      <c r="X12" s="82"/>
      <c r="Y12" s="80"/>
      <c r="Z12" s="80"/>
      <c r="AA12" s="57"/>
      <c r="AB12" s="46" t="e">
        <f>T12-HLOOKUP(V12,Minimas!$C$3:$CD$12,2,FALSE)</f>
        <v>#N/A</v>
      </c>
      <c r="AC12" s="46" t="e">
        <f>T12-HLOOKUP(V12,Minimas!$C$3:$CD$12,3,FALSE)</f>
        <v>#N/A</v>
      </c>
      <c r="AD12" s="46" t="e">
        <f>T12-HLOOKUP(V12,Minimas!$C$3:$CD$12,4,FALSE)</f>
        <v>#N/A</v>
      </c>
      <c r="AE12" s="46" t="e">
        <f>T12-HLOOKUP(V12,Minimas!$C$3:$CD$12,5,FALSE)</f>
        <v>#N/A</v>
      </c>
      <c r="AF12" s="46" t="e">
        <f>T12-HLOOKUP(V12,Minimas!$C$3:$CD$12,6,FALSE)</f>
        <v>#N/A</v>
      </c>
      <c r="AG12" s="46" t="e">
        <f>T12-HLOOKUP(V12,Minimas!$C$3:$CD$12,7,FALSE)</f>
        <v>#N/A</v>
      </c>
      <c r="AH12" s="46" t="e">
        <f>T12-HLOOKUP(V12,Minimas!$C$3:$CD$12,8,FALSE)</f>
        <v>#N/A</v>
      </c>
      <c r="AI12" s="46" t="e">
        <f>T12-HLOOKUP(V12,Minimas!$C$3:$CD$12,9,FALSE)</f>
        <v>#N/A</v>
      </c>
      <c r="AJ12" s="46" t="e">
        <f>T12-HLOOKUP(V12,Minimas!$C$3:$CD$12,10,FALSE)</f>
        <v>#N/A</v>
      </c>
      <c r="AK12" s="47" t="e">
        <f t="shared" si="5"/>
        <v>#N/A</v>
      </c>
      <c r="AL12" s="47"/>
      <c r="AM12" s="47" t="e">
        <f t="shared" si="6"/>
        <v>#N/A</v>
      </c>
      <c r="AN12" s="47" t="e">
        <f t="shared" si="7"/>
        <v>#N/A</v>
      </c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</row>
    <row r="13" spans="1:124" s="4" customFormat="1" ht="30" customHeight="1" x14ac:dyDescent="0.25">
      <c r="B13" s="188">
        <v>7</v>
      </c>
      <c r="C13" s="189"/>
      <c r="D13" s="201"/>
      <c r="E13" s="191" t="s">
        <v>126</v>
      </c>
      <c r="F13" s="293" t="s">
        <v>182</v>
      </c>
      <c r="G13" s="294" t="s">
        <v>183</v>
      </c>
      <c r="H13" s="295">
        <v>2006</v>
      </c>
      <c r="I13" s="296" t="s">
        <v>178</v>
      </c>
      <c r="J13" s="191" t="s">
        <v>270</v>
      </c>
      <c r="K13" s="194">
        <v>54.5</v>
      </c>
      <c r="L13" s="195">
        <v>63</v>
      </c>
      <c r="M13" s="195">
        <v>67</v>
      </c>
      <c r="N13" s="195">
        <v>-70</v>
      </c>
      <c r="O13" s="279">
        <f t="shared" si="0"/>
        <v>67</v>
      </c>
      <c r="P13" s="195">
        <v>81</v>
      </c>
      <c r="Q13" s="195">
        <v>85</v>
      </c>
      <c r="R13" s="195">
        <v>-88</v>
      </c>
      <c r="S13" s="196">
        <f t="shared" si="1"/>
        <v>85</v>
      </c>
      <c r="T13" s="197">
        <f t="shared" si="2"/>
        <v>152</v>
      </c>
      <c r="U13" s="198" t="e">
        <f t="shared" si="3"/>
        <v>#N/A</v>
      </c>
      <c r="V13" s="199" t="str">
        <f>IF(E13=0," ",IF(E13="H",IF(H13&lt;=SENIORS_Min,VLOOKUP(K13,Minimas!$A$15:$F$29,6),IF(AND(H13&gt;=U20_Min,H13&lt;=U20_Max),VLOOKUP(K13,Minimas!$A$15:$F$29,5),IF(AND(H13&gt;=U17_Min,H13&lt;=U17_Max),VLOOKUP(K13,Minimas!$A$15:$F$29,4),IF(AND(H13&gt;=U15_Min,H13&lt;=U15_Max),VLOOKUP(K13,Minimas!$A$15:$F$29,3),VLOOKUP(K13,Minimas!$A$15:$F$29,2))))),IF(H13&lt;=SENIORS_Min,VLOOKUP(K13,Minimas!$G$15:$L$29,6),IF(AND(H13&gt;=U20_Min,H13&lt;=U20_Max),VLOOKUP(K13,Minimas!$G$15:$L$29,5),IF(AND(H13&gt;=U17_Min,H13&lt;=U17_Max),VLOOKUP(K13,Minimas!$G$15:$L$29,4),IF(AND(H13&gt;=U15_Min,H13&lt;=U15_Max),VLOOKUP(K13,Minimas!$G$15:$L$29,3),VLOOKUP(K13,Minimas!$G$15:$L$29,2)))))))</f>
        <v>U17 F53</v>
      </c>
      <c r="W13" s="200">
        <f t="shared" si="4"/>
        <v>219.54453694559535</v>
      </c>
      <c r="X13" s="82"/>
      <c r="Y13" s="80"/>
      <c r="Z13" s="80"/>
      <c r="AA13" s="57"/>
      <c r="AB13" s="46" t="e">
        <f>T13-HLOOKUP(V13,Minimas!$C$3:$CD$12,2,FALSE)</f>
        <v>#N/A</v>
      </c>
      <c r="AC13" s="46" t="e">
        <f>T13-HLOOKUP(V13,Minimas!$C$3:$CD$12,3,FALSE)</f>
        <v>#N/A</v>
      </c>
      <c r="AD13" s="46" t="e">
        <f>T13-HLOOKUP(V13,Minimas!$C$3:$CD$12,4,FALSE)</f>
        <v>#N/A</v>
      </c>
      <c r="AE13" s="46" t="e">
        <f>T13-HLOOKUP(V13,Minimas!$C$3:$CD$12,5,FALSE)</f>
        <v>#N/A</v>
      </c>
      <c r="AF13" s="46" t="e">
        <f>T13-HLOOKUP(V13,Minimas!$C$3:$CD$12,6,FALSE)</f>
        <v>#N/A</v>
      </c>
      <c r="AG13" s="46" t="e">
        <f>T13-HLOOKUP(V13,Minimas!$C$3:$CD$12,7,FALSE)</f>
        <v>#N/A</v>
      </c>
      <c r="AH13" s="46" t="e">
        <f>T13-HLOOKUP(V13,Minimas!$C$3:$CD$12,8,FALSE)</f>
        <v>#N/A</v>
      </c>
      <c r="AI13" s="46" t="e">
        <f>T13-HLOOKUP(V13,Minimas!$C$3:$CD$12,9,FALSE)</f>
        <v>#N/A</v>
      </c>
      <c r="AJ13" s="46" t="e">
        <f>T13-HLOOKUP(V13,Minimas!$C$3:$CD$12,10,FALSE)</f>
        <v>#N/A</v>
      </c>
      <c r="AK13" s="47" t="e">
        <f t="shared" si="5"/>
        <v>#N/A</v>
      </c>
      <c r="AL13" s="47"/>
      <c r="AM13" s="47" t="e">
        <f t="shared" si="6"/>
        <v>#N/A</v>
      </c>
      <c r="AN13" s="47" t="e">
        <f t="shared" si="7"/>
        <v>#N/A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</row>
    <row r="14" spans="1:124" s="4" customFormat="1" ht="30" customHeight="1" x14ac:dyDescent="0.25">
      <c r="B14" s="188">
        <v>8</v>
      </c>
      <c r="C14" s="189"/>
      <c r="D14" s="201"/>
      <c r="E14" s="191" t="s">
        <v>126</v>
      </c>
      <c r="F14" s="293" t="s">
        <v>184</v>
      </c>
      <c r="G14" s="294" t="s">
        <v>185</v>
      </c>
      <c r="H14" s="295">
        <v>2009</v>
      </c>
      <c r="I14" s="296" t="s">
        <v>159</v>
      </c>
      <c r="J14" s="191" t="s">
        <v>270</v>
      </c>
      <c r="K14" s="194">
        <v>58.8</v>
      </c>
      <c r="L14" s="195">
        <v>60</v>
      </c>
      <c r="M14" s="195">
        <v>-64</v>
      </c>
      <c r="N14" s="195">
        <v>-65</v>
      </c>
      <c r="O14" s="279">
        <f t="shared" si="0"/>
        <v>60</v>
      </c>
      <c r="P14" s="195">
        <v>70</v>
      </c>
      <c r="Q14" s="195">
        <v>75</v>
      </c>
      <c r="R14" s="195">
        <v>-78</v>
      </c>
      <c r="S14" s="196">
        <f t="shared" si="1"/>
        <v>75</v>
      </c>
      <c r="T14" s="197">
        <f t="shared" si="2"/>
        <v>135</v>
      </c>
      <c r="U14" s="198" t="str">
        <f t="shared" si="3"/>
        <v>INTB + 15</v>
      </c>
      <c r="V14" s="199" t="str">
        <f>IF(E14=0," ",IF(E14="H",IF(H14&lt;=SENIORS_Min,VLOOKUP(K14,Minimas!$A$15:$F$29,6),IF(AND(H14&gt;=U20_Min,H14&lt;=U20_Max),VLOOKUP(K14,Minimas!$A$15:$F$29,5),IF(AND(H14&gt;=U17_Min,H14&lt;=U17_Max),VLOOKUP(K14,Minimas!$A$15:$F$29,4),IF(AND(H14&gt;=U15_Min,H14&lt;=U15_Max),VLOOKUP(K14,Minimas!$A$15:$F$29,3),VLOOKUP(K14,Minimas!$A$15:$F$29,2))))),IF(H14&lt;=SENIORS_Min,VLOOKUP(K14,Minimas!$G$15:$L$29,6),IF(AND(H14&gt;=U20_Min,H14&lt;=U20_Max),VLOOKUP(K14,Minimas!$G$15:$L$29,5),IF(AND(H14&gt;=U17_Min,H14&lt;=U17_Max),VLOOKUP(K14,Minimas!$G$15:$L$29,4),IF(AND(H14&gt;=U15_Min,H14&lt;=U15_Max),VLOOKUP(K14,Minimas!$G$15:$L$29,3),VLOOKUP(K14,Minimas!$G$15:$L$29,2)))))))</f>
        <v>U15 F59</v>
      </c>
      <c r="W14" s="200">
        <f t="shared" si="4"/>
        <v>185.13377763399458</v>
      </c>
      <c r="X14" s="82"/>
      <c r="Y14" s="80"/>
      <c r="Z14" s="80"/>
      <c r="AA14" s="57"/>
      <c r="AB14" s="46">
        <f>T14-HLOOKUP(V14,Minimas!$C$3:$CD$12,2,FALSE)</f>
        <v>95</v>
      </c>
      <c r="AC14" s="46">
        <f>T14-HLOOKUP(V14,Minimas!$C$3:$CD$12,3,FALSE)</f>
        <v>85</v>
      </c>
      <c r="AD14" s="46">
        <f>T14-HLOOKUP(V14,Minimas!$C$3:$CD$12,4,FALSE)</f>
        <v>73</v>
      </c>
      <c r="AE14" s="46">
        <f>T14-HLOOKUP(V14,Minimas!$C$3:$CD$12,5,FALSE)</f>
        <v>60</v>
      </c>
      <c r="AF14" s="46">
        <f>T14-HLOOKUP(V14,Minimas!$C$3:$CD$12,6,FALSE)</f>
        <v>45</v>
      </c>
      <c r="AG14" s="46">
        <f>T14-HLOOKUP(V14,Minimas!$C$3:$CD$12,7,FALSE)</f>
        <v>30</v>
      </c>
      <c r="AH14" s="46">
        <f>T14-HLOOKUP(V14,Minimas!$C$3:$CD$12,8,FALSE)</f>
        <v>15</v>
      </c>
      <c r="AI14" s="46">
        <f>T14-HLOOKUP(V14,Minimas!$C$3:$CD$12,9,FALSE)</f>
        <v>-5</v>
      </c>
      <c r="AJ14" s="46">
        <f>T14-HLOOKUP(V14,Minimas!$C$3:$CD$12,10,FALSE)</f>
        <v>-9864</v>
      </c>
      <c r="AK14" s="47" t="str">
        <f t="shared" si="5"/>
        <v>INTB +</v>
      </c>
      <c r="AL14" s="47"/>
      <c r="AM14" s="47" t="str">
        <f t="shared" si="6"/>
        <v>INTB +</v>
      </c>
      <c r="AN14" s="47">
        <f t="shared" si="7"/>
        <v>15</v>
      </c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</row>
    <row r="15" spans="1:124" s="4" customFormat="1" ht="30" customHeight="1" x14ac:dyDescent="0.25">
      <c r="B15" s="188">
        <v>9</v>
      </c>
      <c r="C15" s="189"/>
      <c r="D15" s="201"/>
      <c r="E15" s="191" t="s">
        <v>126</v>
      </c>
      <c r="F15" s="293" t="s">
        <v>186</v>
      </c>
      <c r="G15" s="294" t="s">
        <v>187</v>
      </c>
      <c r="H15" s="295">
        <v>1994</v>
      </c>
      <c r="I15" s="296" t="s">
        <v>188</v>
      </c>
      <c r="J15" s="191" t="s">
        <v>270</v>
      </c>
      <c r="K15" s="194">
        <v>52.65</v>
      </c>
      <c r="L15" s="195">
        <v>60</v>
      </c>
      <c r="M15" s="195">
        <v>65</v>
      </c>
      <c r="N15" s="195">
        <v>-68</v>
      </c>
      <c r="O15" s="279">
        <f t="shared" si="0"/>
        <v>65</v>
      </c>
      <c r="P15" s="195">
        <v>75</v>
      </c>
      <c r="Q15" s="195">
        <v>78</v>
      </c>
      <c r="R15" s="195">
        <v>81</v>
      </c>
      <c r="S15" s="196">
        <f t="shared" si="1"/>
        <v>81</v>
      </c>
      <c r="T15" s="197">
        <f t="shared" si="2"/>
        <v>146</v>
      </c>
      <c r="U15" s="198" t="e">
        <f t="shared" si="3"/>
        <v>#N/A</v>
      </c>
      <c r="V15" s="199" t="str">
        <f>IF(E15=0," ",IF(E15="H",IF(H15&lt;=SENIORS_Min,VLOOKUP(K15,Minimas!$A$15:$F$29,6),IF(AND(H15&gt;=U20_Min,H15&lt;=U20_Max),VLOOKUP(K15,Minimas!$A$15:$F$29,5),IF(AND(H15&gt;=U17_Min,H15&lt;=U17_Max),VLOOKUP(K15,Minimas!$A$15:$F$29,4),IF(AND(H15&gt;=U15_Min,H15&lt;=U15_Max),VLOOKUP(K15,Minimas!$A$15:$F$29,3),VLOOKUP(K15,Minimas!$A$15:$F$29,2))))),IF(H15&lt;=SENIORS_Min,VLOOKUP(K15,Minimas!$G$15:$L$29,6),IF(AND(H15&gt;=U20_Min,H15&lt;=U20_Max),VLOOKUP(K15,Minimas!$G$15:$L$29,5),IF(AND(H15&gt;=U17_Min,H15&lt;=U17_Max),VLOOKUP(K15,Minimas!$G$15:$L$29,4),IF(AND(H15&gt;=U15_Min,H15&lt;=U15_Max),VLOOKUP(K15,Minimas!$G$15:$L$29,3),VLOOKUP(K15,Minimas!$G$15:$L$29,2)))))))</f>
        <v>SE F53</v>
      </c>
      <c r="W15" s="200">
        <f t="shared" si="4"/>
        <v>216.19344172475877</v>
      </c>
      <c r="X15" s="82"/>
      <c r="Y15" s="80"/>
      <c r="Z15" s="80"/>
      <c r="AA15" s="57"/>
      <c r="AB15" s="46" t="e">
        <f>T15-HLOOKUP(V15,Minimas!$C$3:$CD$12,2,FALSE)</f>
        <v>#N/A</v>
      </c>
      <c r="AC15" s="46" t="e">
        <f>T15-HLOOKUP(V15,Minimas!$C$3:$CD$12,3,FALSE)</f>
        <v>#N/A</v>
      </c>
      <c r="AD15" s="46" t="e">
        <f>T15-HLOOKUP(V15,Minimas!$C$3:$CD$12,4,FALSE)</f>
        <v>#N/A</v>
      </c>
      <c r="AE15" s="46" t="e">
        <f>T15-HLOOKUP(V15,Minimas!$C$3:$CD$12,5,FALSE)</f>
        <v>#N/A</v>
      </c>
      <c r="AF15" s="46" t="e">
        <f>T15-HLOOKUP(V15,Minimas!$C$3:$CD$12,6,FALSE)</f>
        <v>#N/A</v>
      </c>
      <c r="AG15" s="46" t="e">
        <f>T15-HLOOKUP(V15,Minimas!$C$3:$CD$12,7,FALSE)</f>
        <v>#N/A</v>
      </c>
      <c r="AH15" s="46" t="e">
        <f>T15-HLOOKUP(V15,Minimas!$C$3:$CD$12,8,FALSE)</f>
        <v>#N/A</v>
      </c>
      <c r="AI15" s="46" t="e">
        <f>T15-HLOOKUP(V15,Minimas!$C$3:$CD$12,9,FALSE)</f>
        <v>#N/A</v>
      </c>
      <c r="AJ15" s="46" t="e">
        <f>T15-HLOOKUP(V15,Minimas!$C$3:$CD$12,10,FALSE)</f>
        <v>#N/A</v>
      </c>
      <c r="AK15" s="47" t="e">
        <f t="shared" si="5"/>
        <v>#N/A</v>
      </c>
      <c r="AL15" s="47"/>
      <c r="AM15" s="47" t="e">
        <f t="shared" si="6"/>
        <v>#N/A</v>
      </c>
      <c r="AN15" s="47" t="e">
        <f t="shared" si="7"/>
        <v>#N/A</v>
      </c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</row>
    <row r="16" spans="1:124" s="4" customFormat="1" ht="30" customHeight="1" x14ac:dyDescent="0.25">
      <c r="B16" s="188">
        <v>10</v>
      </c>
      <c r="C16" s="189"/>
      <c r="D16" s="201"/>
      <c r="E16" s="191" t="s">
        <v>126</v>
      </c>
      <c r="F16" s="293" t="s">
        <v>189</v>
      </c>
      <c r="G16" s="294" t="s">
        <v>190</v>
      </c>
      <c r="H16" s="295">
        <v>2008</v>
      </c>
      <c r="I16" s="296" t="s">
        <v>191</v>
      </c>
      <c r="J16" s="191" t="s">
        <v>271</v>
      </c>
      <c r="K16" s="194">
        <v>61.65</v>
      </c>
      <c r="L16" s="195">
        <v>67</v>
      </c>
      <c r="M16" s="195">
        <v>-71</v>
      </c>
      <c r="N16" s="195">
        <v>71</v>
      </c>
      <c r="O16" s="279">
        <f t="shared" si="0"/>
        <v>71</v>
      </c>
      <c r="P16" s="195">
        <v>84</v>
      </c>
      <c r="Q16" s="195">
        <v>-88</v>
      </c>
      <c r="R16" s="195">
        <v>88</v>
      </c>
      <c r="S16" s="196">
        <f t="shared" si="1"/>
        <v>88</v>
      </c>
      <c r="T16" s="197">
        <f t="shared" si="2"/>
        <v>159</v>
      </c>
      <c r="U16" s="198" t="str">
        <f t="shared" si="3"/>
        <v>INTA + 14</v>
      </c>
      <c r="V16" s="199" t="str">
        <f>IF(E16=0," ",IF(E16="H",IF(H16&lt;=SENIORS_Min,VLOOKUP(K16,Minimas!$A$15:$F$29,6),IF(AND(H16&gt;=U20_Min,H16&lt;=U20_Max),VLOOKUP(K16,Minimas!$A$15:$F$29,5),IF(AND(H16&gt;=U17_Min,H16&lt;=U17_Max),VLOOKUP(K16,Minimas!$A$15:$F$29,4),IF(AND(H16&gt;=U15_Min,H16&lt;=U15_Max),VLOOKUP(K16,Minimas!$A$15:$F$29,3),VLOOKUP(K16,Minimas!$A$15:$F$29,2))))),IF(H16&lt;=SENIORS_Min,VLOOKUP(K16,Minimas!$G$15:$L$29,6),IF(AND(H16&gt;=U20_Min,H16&lt;=U20_Max),VLOOKUP(K16,Minimas!$G$15:$L$29,5),IF(AND(H16&gt;=U17_Min,H16&lt;=U17_Max),VLOOKUP(K16,Minimas!$G$15:$L$29,4),IF(AND(H16&gt;=U15_Min,H16&lt;=U15_Max),VLOOKUP(K16,Minimas!$G$15:$L$29,3),VLOOKUP(K16,Minimas!$G$15:$L$29,2)))))))</f>
        <v>U15 F64</v>
      </c>
      <c r="W16" s="200">
        <f t="shared" si="4"/>
        <v>211.53135220638168</v>
      </c>
      <c r="X16" s="82"/>
      <c r="Y16" s="80"/>
      <c r="Z16" s="80"/>
      <c r="AA16" s="57"/>
      <c r="AB16" s="46">
        <f>T16-HLOOKUP(V16,Minimas!$C$3:$CD$12,2,FALSE)</f>
        <v>114</v>
      </c>
      <c r="AC16" s="46">
        <f>T16-HLOOKUP(V16,Minimas!$C$3:$CD$12,3,FALSE)</f>
        <v>104</v>
      </c>
      <c r="AD16" s="46">
        <f>T16-HLOOKUP(V16,Minimas!$C$3:$CD$12,4,FALSE)</f>
        <v>92</v>
      </c>
      <c r="AE16" s="46">
        <f>T16-HLOOKUP(V16,Minimas!$C$3:$CD$12,5,FALSE)</f>
        <v>79</v>
      </c>
      <c r="AF16" s="46">
        <f>T16-HLOOKUP(V16,Minimas!$C$3:$CD$12,6,FALSE)</f>
        <v>64</v>
      </c>
      <c r="AG16" s="46">
        <f>T16-HLOOKUP(V16,Minimas!$C$3:$CD$12,7,FALSE)</f>
        <v>49</v>
      </c>
      <c r="AH16" s="46">
        <f>T16-HLOOKUP(V16,Minimas!$C$3:$CD$12,8,FALSE)</f>
        <v>34</v>
      </c>
      <c r="AI16" s="46">
        <f>T16-HLOOKUP(V16,Minimas!$C$3:$CD$12,9,FALSE)</f>
        <v>14</v>
      </c>
      <c r="AJ16" s="46">
        <f>T16-HLOOKUP(V16,Minimas!$C$3:$CD$12,10,FALSE)</f>
        <v>-9840</v>
      </c>
      <c r="AK16" s="47" t="str">
        <f t="shared" si="5"/>
        <v>INTA +</v>
      </c>
      <c r="AL16" s="47"/>
      <c r="AM16" s="47" t="str">
        <f t="shared" si="6"/>
        <v>INTA +</v>
      </c>
      <c r="AN16" s="47">
        <f t="shared" si="7"/>
        <v>14</v>
      </c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</row>
    <row r="17" spans="2:107" s="4" customFormat="1" ht="30" customHeight="1" x14ac:dyDescent="0.25">
      <c r="B17" s="188">
        <v>11</v>
      </c>
      <c r="C17" s="189"/>
      <c r="D17" s="201"/>
      <c r="E17" s="191" t="s">
        <v>126</v>
      </c>
      <c r="F17" s="293" t="s">
        <v>289</v>
      </c>
      <c r="G17" s="294" t="s">
        <v>290</v>
      </c>
      <c r="H17" s="295">
        <v>2001</v>
      </c>
      <c r="I17" s="296" t="s">
        <v>159</v>
      </c>
      <c r="J17" s="191" t="s">
        <v>270</v>
      </c>
      <c r="K17" s="194">
        <v>95.45</v>
      </c>
      <c r="L17" s="195">
        <v>-73</v>
      </c>
      <c r="M17" s="195">
        <v>73</v>
      </c>
      <c r="N17" s="195">
        <v>78</v>
      </c>
      <c r="O17" s="279">
        <f t="shared" si="0"/>
        <v>78</v>
      </c>
      <c r="P17" s="195">
        <v>92</v>
      </c>
      <c r="Q17" s="195">
        <v>-100</v>
      </c>
      <c r="R17" s="195">
        <v>102</v>
      </c>
      <c r="S17" s="196">
        <f>IF(E17="","",IF(MAXA(P17:R17)&lt;=0,0,MAXA(P17:R17)))</f>
        <v>102</v>
      </c>
      <c r="T17" s="197">
        <f t="shared" si="2"/>
        <v>180</v>
      </c>
      <c r="U17" s="198" t="str">
        <f t="shared" si="3"/>
        <v>FED + 18</v>
      </c>
      <c r="V17" s="199" t="str">
        <f>IF(E17=0," ",IF(E17="H",IF(H17&lt;=SENIORS_Min,VLOOKUP(K17,Minimas!$A$15:$F$29,6),IF(AND(H17&gt;=U20_Min,H17&lt;=U20_Max),VLOOKUP(K17,Minimas!$A$15:$F$29,5),IF(AND(H17&gt;=U17_Min,H17&lt;=U17_Max),VLOOKUP(K17,Minimas!$A$15:$F$29,4),IF(AND(H17&gt;=U15_Min,H17&lt;=U15_Max),VLOOKUP(K17,Minimas!$A$15:$F$29,3),VLOOKUP(K17,Minimas!$A$15:$F$29,2))))),IF(H17&lt;=SENIORS_Min,VLOOKUP(K17,Minimas!$G$15:$L$29,6),IF(AND(H17&gt;=U20_Min,H17&lt;=U20_Max),VLOOKUP(K17,Minimas!$G$15:$L$29,5),IF(AND(H17&gt;=U17_Min,H17&lt;=U17_Max),VLOOKUP(K17,Minimas!$G$15:$L$29,4),IF(AND(H17&gt;=U15_Min,H17&lt;=U15_Max),VLOOKUP(K17,Minimas!$G$15:$L$29,3),VLOOKUP(K17,Minimas!$G$15:$L$29,2)))))))</f>
        <v>SE F&gt;87</v>
      </c>
      <c r="W17" s="200">
        <f t="shared" si="4"/>
        <v>194.54231004502435</v>
      </c>
      <c r="X17" s="82"/>
      <c r="Y17" s="80"/>
      <c r="Z17" s="80"/>
      <c r="AA17" s="57"/>
      <c r="AB17" s="46">
        <f>T17-HLOOKUP(V17,Minimas!$C$3:$CD$12,2,FALSE)</f>
        <v>90</v>
      </c>
      <c r="AC17" s="46">
        <f>T17-HLOOKUP(V17,Minimas!$C$3:$CD$12,3,FALSE)</f>
        <v>75</v>
      </c>
      <c r="AD17" s="46">
        <f>T17-HLOOKUP(V17,Minimas!$C$3:$CD$12,4,FALSE)</f>
        <v>55</v>
      </c>
      <c r="AE17" s="46">
        <f>T17-HLOOKUP(V17,Minimas!$C$3:$CD$12,5,FALSE)</f>
        <v>38</v>
      </c>
      <c r="AF17" s="46">
        <f>T17-HLOOKUP(V17,Minimas!$C$3:$CD$12,6,FALSE)</f>
        <v>18</v>
      </c>
      <c r="AG17" s="46">
        <f>T17-HLOOKUP(V17,Minimas!$C$3:$CD$12,7,FALSE)</f>
        <v>-5</v>
      </c>
      <c r="AH17" s="46">
        <f>T17-HLOOKUP(V17,Minimas!$C$3:$CD$12,8,FALSE)</f>
        <v>-25</v>
      </c>
      <c r="AI17" s="46">
        <f>T17-HLOOKUP(V17,Minimas!$C$3:$CD$12,9,FALSE)</f>
        <v>-48</v>
      </c>
      <c r="AJ17" s="46">
        <f>T17-HLOOKUP(V17,Minimas!$C$3:$CD$12,10,FALSE)</f>
        <v>-9819</v>
      </c>
      <c r="AK17" s="47" t="str">
        <f t="shared" si="5"/>
        <v>FED +</v>
      </c>
      <c r="AL17" s="47"/>
      <c r="AM17" s="47" t="str">
        <f t="shared" si="6"/>
        <v>FED +</v>
      </c>
      <c r="AN17" s="47">
        <f t="shared" si="7"/>
        <v>18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2:107" s="4" customFormat="1" ht="30" customHeight="1" thickBot="1" x14ac:dyDescent="0.3">
      <c r="B18" s="188"/>
      <c r="C18" s="189"/>
      <c r="D18" s="201"/>
      <c r="E18" s="191"/>
      <c r="F18" s="293"/>
      <c r="G18" s="294"/>
      <c r="H18" s="295"/>
      <c r="I18" s="296"/>
      <c r="J18" s="191"/>
      <c r="K18" s="194"/>
      <c r="L18" s="195"/>
      <c r="M18" s="195"/>
      <c r="N18" s="195"/>
      <c r="O18" s="196" t="str">
        <f t="shared" si="0"/>
        <v/>
      </c>
      <c r="P18" s="195"/>
      <c r="Q18" s="195"/>
      <c r="R18" s="195"/>
      <c r="S18" s="196" t="str">
        <f t="shared" si="1"/>
        <v/>
      </c>
      <c r="T18" s="197" t="str">
        <f t="shared" si="2"/>
        <v/>
      </c>
      <c r="U18" s="198" t="str">
        <f t="shared" si="3"/>
        <v xml:space="preserve">   </v>
      </c>
      <c r="V18" s="199" t="str">
        <f>IF(E18=0," ",IF(E18="H",IF(H18&lt;=SENIORS_Min,VLOOKUP(K18,Minimas!$A$15:$F$29,6),IF(AND(H18&gt;=U20_Min,H18&lt;=U20_Max),VLOOKUP(K18,Minimas!$A$15:$F$29,5),IF(AND(H18&gt;=U17_Min,H18&lt;=U17_Max),VLOOKUP(K18,Minimas!$A$15:$F$29,4),IF(AND(H18&gt;=U15_Min,H18&lt;=U15_Max),VLOOKUP(K18,Minimas!$A$15:$F$29,3),VLOOKUP(K18,Minimas!$A$15:$F$29,2))))),IF(H18&lt;=SENIORS_Min,VLOOKUP(K18,Minimas!$G$15:$L$29,6),IF(AND(H18&gt;=U20_Min,H18&lt;=U20_Max),VLOOKUP(K18,Minimas!$G$15:$L$29,5),IF(AND(H18&gt;=U17_Min,H18&lt;=U17_Max),VLOOKUP(K18,Minimas!$G$15:$L$29,4),IF(AND(H18&gt;=U15_Min,H18&lt;=U15_Max),VLOOKUP(K18,Minimas!$G$15:$L$29,3),VLOOKUP(K18,Minimas!$G$15:$L$29,2)))))))</f>
        <v xml:space="preserve"> </v>
      </c>
      <c r="W18" s="200" t="str">
        <f t="shared" si="4"/>
        <v/>
      </c>
      <c r="X18" s="82"/>
      <c r="Y18" s="80"/>
      <c r="Z18" s="80"/>
      <c r="AA18" s="57"/>
      <c r="AB18" s="46" t="e">
        <f>T18-HLOOKUP(V18,Minimas!$C$3:$CD$12,2,FALSE)</f>
        <v>#VALUE!</v>
      </c>
      <c r="AC18" s="46" t="e">
        <f>T18-HLOOKUP(V18,Minimas!$C$3:$CD$12,3,FALSE)</f>
        <v>#VALUE!</v>
      </c>
      <c r="AD18" s="46" t="e">
        <f>T18-HLOOKUP(V18,Minimas!$C$3:$CD$12,4,FALSE)</f>
        <v>#VALUE!</v>
      </c>
      <c r="AE18" s="46" t="e">
        <f>T18-HLOOKUP(V18,Minimas!$C$3:$CD$12,5,FALSE)</f>
        <v>#VALUE!</v>
      </c>
      <c r="AF18" s="46" t="e">
        <f>T18-HLOOKUP(V18,Minimas!$C$3:$CD$12,6,FALSE)</f>
        <v>#VALUE!</v>
      </c>
      <c r="AG18" s="46" t="e">
        <f>T18-HLOOKUP(V18,Minimas!$C$3:$CD$12,7,FALSE)</f>
        <v>#VALUE!</v>
      </c>
      <c r="AH18" s="46" t="e">
        <f>T18-HLOOKUP(V18,Minimas!$C$3:$CD$12,8,FALSE)</f>
        <v>#VALUE!</v>
      </c>
      <c r="AI18" s="46" t="e">
        <f>T18-HLOOKUP(V18,Minimas!$C$3:$CD$12,9,FALSE)</f>
        <v>#VALUE!</v>
      </c>
      <c r="AJ18" s="46" t="e">
        <f>T18-HLOOKUP(V18,Minimas!$C$3:$CD$12,10,FALSE)</f>
        <v>#VALUE!</v>
      </c>
      <c r="AK18" s="47" t="str">
        <f t="shared" si="5"/>
        <v xml:space="preserve"> </v>
      </c>
      <c r="AL18" s="47"/>
      <c r="AM18" s="47" t="str">
        <f t="shared" si="6"/>
        <v xml:space="preserve"> </v>
      </c>
      <c r="AN18" s="47" t="str">
        <f t="shared" si="7"/>
        <v xml:space="preserve"> 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2:107" s="4" customFormat="1" ht="30" hidden="1" customHeight="1" x14ac:dyDescent="0.25">
      <c r="B19" s="188"/>
      <c r="C19" s="189"/>
      <c r="D19" s="201"/>
      <c r="E19" s="191"/>
      <c r="F19" s="191"/>
      <c r="G19" s="192"/>
      <c r="H19" s="193"/>
      <c r="I19" s="220"/>
      <c r="J19" s="191"/>
      <c r="K19" s="194"/>
      <c r="L19" s="195"/>
      <c r="M19" s="195"/>
      <c r="N19" s="195"/>
      <c r="O19" s="196" t="str">
        <f t="shared" si="0"/>
        <v/>
      </c>
      <c r="P19" s="195"/>
      <c r="Q19" s="195"/>
      <c r="R19" s="195"/>
      <c r="S19" s="196" t="str">
        <f t="shared" si="1"/>
        <v/>
      </c>
      <c r="T19" s="197" t="str">
        <f t="shared" si="2"/>
        <v/>
      </c>
      <c r="U19" s="198" t="str">
        <f t="shared" si="3"/>
        <v xml:space="preserve">   </v>
      </c>
      <c r="V19" s="199" t="str">
        <f>IF(E19=0," ",IF(E19="H",IF(H19&lt;=SENIORS_Min,VLOOKUP(K19,Minimas!$A$15:$F$29,6),IF(AND(H19&gt;=U20_Min,H19&lt;=U20_Max),VLOOKUP(K19,Minimas!$A$15:$F$29,5),IF(AND(H19&gt;=U17_Min,H19&lt;=U17_Max),VLOOKUP(K19,Minimas!$A$15:$F$29,4),IF(AND(H19&gt;=U15_Min,H19&lt;=U15_Max),VLOOKUP(K19,Minimas!$A$15:$F$29,3),VLOOKUP(K19,Minimas!$A$15:$F$29,2))))),IF(H19&lt;=SENIORS_Min,VLOOKUP(K19,Minimas!$G$15:$L$29,6),IF(AND(H19&gt;=U20_Min,H19&lt;=U20_Max),VLOOKUP(K19,Minimas!$G$15:$L$29,5),IF(AND(H19&gt;=U17_Min,H19&lt;=U17_Max),VLOOKUP(K19,Minimas!$G$15:$L$29,4),IF(AND(H19&gt;=U15_Min,H19&lt;=U15_Max),VLOOKUP(K19,Minimas!$G$15:$L$29,3),VLOOKUP(K19,Minimas!$G$15:$L$29,2)))))))</f>
        <v xml:space="preserve"> </v>
      </c>
      <c r="W19" s="200" t="str">
        <f t="shared" si="4"/>
        <v/>
      </c>
      <c r="X19" s="82"/>
      <c r="Y19" s="80"/>
      <c r="Z19" s="80"/>
      <c r="AA19" s="57"/>
      <c r="AB19" s="46" t="e">
        <f>T19-HLOOKUP(V19,Minimas!$C$3:$CD$12,2,FALSE)</f>
        <v>#VALUE!</v>
      </c>
      <c r="AC19" s="46" t="e">
        <f>T19-HLOOKUP(V19,Minimas!$C$3:$CD$12,3,FALSE)</f>
        <v>#VALUE!</v>
      </c>
      <c r="AD19" s="46" t="e">
        <f>T19-HLOOKUP(V19,Minimas!$C$3:$CD$12,4,FALSE)</f>
        <v>#VALUE!</v>
      </c>
      <c r="AE19" s="46" t="e">
        <f>T19-HLOOKUP(V19,Minimas!$C$3:$CD$12,5,FALSE)</f>
        <v>#VALUE!</v>
      </c>
      <c r="AF19" s="46" t="e">
        <f>T19-HLOOKUP(V19,Minimas!$C$3:$CD$12,6,FALSE)</f>
        <v>#VALUE!</v>
      </c>
      <c r="AG19" s="46" t="e">
        <f>T19-HLOOKUP(V19,Minimas!$C$3:$CD$12,7,FALSE)</f>
        <v>#VALUE!</v>
      </c>
      <c r="AH19" s="46" t="e">
        <f>T19-HLOOKUP(V19,Minimas!$C$3:$CD$12,8,FALSE)</f>
        <v>#VALUE!</v>
      </c>
      <c r="AI19" s="46" t="e">
        <f>T19-HLOOKUP(V19,Minimas!$C$3:$CD$12,9,FALSE)</f>
        <v>#VALUE!</v>
      </c>
      <c r="AJ19" s="46" t="e">
        <f>T19-HLOOKUP(V19,Minimas!$C$3:$CD$12,10,FALSE)</f>
        <v>#VALUE!</v>
      </c>
      <c r="AK19" s="47" t="str">
        <f t="shared" si="5"/>
        <v xml:space="preserve"> </v>
      </c>
      <c r="AL19" s="47"/>
      <c r="AM19" s="47" t="str">
        <f t="shared" si="6"/>
        <v xml:space="preserve"> </v>
      </c>
      <c r="AN19" s="47" t="str">
        <f t="shared" si="7"/>
        <v xml:space="preserve"> </v>
      </c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</row>
    <row r="20" spans="2:107" s="4" customFormat="1" ht="30" hidden="1" customHeight="1" x14ac:dyDescent="0.25">
      <c r="B20" s="122"/>
      <c r="C20" s="223"/>
      <c r="D20" s="187"/>
      <c r="E20" s="123"/>
      <c r="F20" s="288"/>
      <c r="G20" s="124"/>
      <c r="H20" s="125"/>
      <c r="I20" s="224"/>
      <c r="J20" s="123"/>
      <c r="K20" s="126"/>
      <c r="L20" s="127"/>
      <c r="M20" s="128"/>
      <c r="N20" s="128"/>
      <c r="O20" s="87" t="str">
        <f t="shared" si="0"/>
        <v/>
      </c>
      <c r="P20" s="127"/>
      <c r="Q20" s="128"/>
      <c r="R20" s="128"/>
      <c r="S20" s="87" t="str">
        <f t="shared" si="1"/>
        <v/>
      </c>
      <c r="T20" s="88" t="str">
        <f t="shared" si="2"/>
        <v/>
      </c>
      <c r="U20" s="89" t="str">
        <f t="shared" si="3"/>
        <v xml:space="preserve">   </v>
      </c>
      <c r="V20" s="129" t="str">
        <f>IF(E20=0," ",IF(E20="H",IF(H20&lt;=SENIORS_Min,VLOOKUP(K20,Minimas!$A$15:$F$29,6),IF(AND(H20&gt;=U20_Min,H20&lt;=U20_Max),VLOOKUP(K20,Minimas!$A$15:$F$29,5),IF(AND(H20&gt;=U17_Min,H20&lt;=U17_Max),VLOOKUP(K20,Minimas!$A$15:$F$29,4),IF(AND(H20&gt;=U15_Min,H20&lt;=U15_Max),VLOOKUP(K20,Minimas!$A$15:$F$29,3),VLOOKUP(K20,Minimas!$A$15:$F$29,2))))),IF(H20&lt;=SENIORS_Min,VLOOKUP(K20,Minimas!$G$15:$L$29,6),IF(AND(H20&gt;=U20_Min,H20&lt;=U20_Max),VLOOKUP(K20,Minimas!$G$15:$L$29,5),IF(AND(H20&gt;=U17_Min,H20&lt;=U17_Max),VLOOKUP(K20,Minimas!$G$15:$L$29,4),IF(AND(H20&gt;=U15_Min,H20&lt;=U15_Max),VLOOKUP(K20,Minimas!$G$15:$L$29,3),VLOOKUP(K20,Minimas!$G$15:$L$29,2)))))))</f>
        <v xml:space="preserve"> </v>
      </c>
      <c r="W20" s="130" t="str">
        <f t="shared" si="4"/>
        <v/>
      </c>
      <c r="X20" s="82"/>
      <c r="Y20" s="80"/>
      <c r="Z20" s="80"/>
      <c r="AA20" s="57"/>
      <c r="AB20" s="46" t="e">
        <f>T20-HLOOKUP(V20,Minimas!$C$3:$CD$12,2,FALSE)</f>
        <v>#VALUE!</v>
      </c>
      <c r="AC20" s="46" t="e">
        <f>T20-HLOOKUP(V20,Minimas!$C$3:$CD$12,3,FALSE)</f>
        <v>#VALUE!</v>
      </c>
      <c r="AD20" s="46" t="e">
        <f>T20-HLOOKUP(V20,Minimas!$C$3:$CD$12,4,FALSE)</f>
        <v>#VALUE!</v>
      </c>
      <c r="AE20" s="46" t="e">
        <f>T20-HLOOKUP(V20,Minimas!$C$3:$CD$12,5,FALSE)</f>
        <v>#VALUE!</v>
      </c>
      <c r="AF20" s="46" t="e">
        <f>T20-HLOOKUP(V20,Minimas!$C$3:$CD$12,6,FALSE)</f>
        <v>#VALUE!</v>
      </c>
      <c r="AG20" s="46" t="e">
        <f>T20-HLOOKUP(V20,Minimas!$C$3:$CD$12,7,FALSE)</f>
        <v>#VALUE!</v>
      </c>
      <c r="AH20" s="46" t="e">
        <f>T20-HLOOKUP(V20,Minimas!$C$3:$CD$12,8,FALSE)</f>
        <v>#VALUE!</v>
      </c>
      <c r="AI20" s="46" t="e">
        <f>T20-HLOOKUP(V20,Minimas!$C$3:$CD$12,9,FALSE)</f>
        <v>#VALUE!</v>
      </c>
      <c r="AJ20" s="46" t="e">
        <f>T20-HLOOKUP(V20,Minimas!$C$3:$CD$12,10,FALSE)</f>
        <v>#VALUE!</v>
      </c>
      <c r="AK20" s="47" t="str">
        <f t="shared" si="5"/>
        <v xml:space="preserve"> </v>
      </c>
      <c r="AL20" s="47"/>
      <c r="AM20" s="47" t="str">
        <f t="shared" si="6"/>
        <v xml:space="preserve"> </v>
      </c>
      <c r="AN20" s="47" t="str">
        <f t="shared" si="7"/>
        <v xml:space="preserve"> </v>
      </c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</row>
    <row r="21" spans="2:107" s="4" customFormat="1" ht="30" hidden="1" customHeight="1" thickBot="1" x14ac:dyDescent="0.3">
      <c r="B21" s="117"/>
      <c r="C21" s="105"/>
      <c r="D21" s="106"/>
      <c r="E21" s="107"/>
      <c r="F21" s="289"/>
      <c r="G21" s="121"/>
      <c r="H21" s="108"/>
      <c r="I21" s="118"/>
      <c r="J21" s="107"/>
      <c r="K21" s="109"/>
      <c r="L21" s="119"/>
      <c r="M21" s="120"/>
      <c r="N21" s="120"/>
      <c r="O21" s="110" t="str">
        <f t="shared" si="0"/>
        <v/>
      </c>
      <c r="P21" s="119"/>
      <c r="Q21" s="120"/>
      <c r="R21" s="120"/>
      <c r="S21" s="110" t="str">
        <f t="shared" si="1"/>
        <v/>
      </c>
      <c r="T21" s="111" t="str">
        <f t="shared" si="2"/>
        <v/>
      </c>
      <c r="U21" s="112" t="str">
        <f t="shared" si="3"/>
        <v xml:space="preserve">   </v>
      </c>
      <c r="V21" s="113" t="str">
        <f>IF(E21=0," ",IF(E21="H",IF(H21&lt;=SENIORS_Min,VLOOKUP(K21,Minimas!$A$15:$F$29,6),IF(AND(H21&gt;=U20_Min,H21&lt;=U20_Max),VLOOKUP(K21,Minimas!$A$15:$F$29,5),IF(AND(H21&gt;=U17_Min,H21&lt;=U17_Max),VLOOKUP(K21,Minimas!$A$15:$F$29,4),IF(AND(H21&gt;=U15_Min,H21&lt;=U15_Max),VLOOKUP(K21,Minimas!$A$15:$F$29,3),VLOOKUP(K21,Minimas!$A$15:$F$29,2))))),IF(H21&lt;=SENIORS_Min,VLOOKUP(K21,Minimas!$G$15:$L$29,6),IF(AND(H21&gt;=U20_Min,H21&lt;=U20_Max),VLOOKUP(K21,Minimas!$G$15:$L$29,5),IF(AND(H21&gt;=U17_Min,H21&lt;=U17_Max),VLOOKUP(K21,Minimas!$G$15:$L$29,4),IF(AND(H21&gt;=U15_Min,H21&lt;=U15_Max),VLOOKUP(K21,Minimas!$G$15:$L$29,3),VLOOKUP(K21,Minimas!$G$15:$L$29,2)))))))</f>
        <v xml:space="preserve"> </v>
      </c>
      <c r="W21" s="114" t="str">
        <f t="shared" si="4"/>
        <v/>
      </c>
      <c r="X21" s="82"/>
      <c r="Y21" s="80"/>
      <c r="Z21" s="80"/>
      <c r="AA21" s="57"/>
      <c r="AB21" s="46" t="e">
        <f>T21-HLOOKUP(V21,Minimas!$C$3:$CD$12,2,FALSE)</f>
        <v>#VALUE!</v>
      </c>
      <c r="AC21" s="46" t="e">
        <f>T21-HLOOKUP(V21,Minimas!$C$3:$CD$12,3,FALSE)</f>
        <v>#VALUE!</v>
      </c>
      <c r="AD21" s="46" t="e">
        <f>T21-HLOOKUP(V21,Minimas!$C$3:$CD$12,4,FALSE)</f>
        <v>#VALUE!</v>
      </c>
      <c r="AE21" s="46" t="e">
        <f>T21-HLOOKUP(V21,Minimas!$C$3:$CD$12,5,FALSE)</f>
        <v>#VALUE!</v>
      </c>
      <c r="AF21" s="46" t="e">
        <f>T21-HLOOKUP(V21,Minimas!$C$3:$CD$12,6,FALSE)</f>
        <v>#VALUE!</v>
      </c>
      <c r="AG21" s="46" t="e">
        <f>T21-HLOOKUP(V21,Minimas!$C$3:$CD$12,7,FALSE)</f>
        <v>#VALUE!</v>
      </c>
      <c r="AH21" s="46" t="e">
        <f>T21-HLOOKUP(V21,Minimas!$C$3:$CD$12,8,FALSE)</f>
        <v>#VALUE!</v>
      </c>
      <c r="AI21" s="46" t="e">
        <f>T21-HLOOKUP(V21,Minimas!$C$3:$CD$12,9,FALSE)</f>
        <v>#VALUE!</v>
      </c>
      <c r="AJ21" s="46" t="e">
        <f>T21-HLOOKUP(V21,Minimas!$C$3:$CD$12,10,FALSE)</f>
        <v>#VALUE!</v>
      </c>
      <c r="AK21" s="47" t="str">
        <f t="shared" si="5"/>
        <v xml:space="preserve"> </v>
      </c>
      <c r="AL21" s="47"/>
      <c r="AM21" s="47" t="str">
        <f t="shared" si="6"/>
        <v xml:space="preserve"> </v>
      </c>
      <c r="AN21" s="47" t="str">
        <f t="shared" si="7"/>
        <v xml:space="preserve"> </v>
      </c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</row>
    <row r="22" spans="2:107" s="4" customFormat="1" ht="30" customHeight="1" x14ac:dyDescent="0.25">
      <c r="B22" s="238"/>
      <c r="C22" s="239"/>
      <c r="D22" s="240"/>
      <c r="E22" s="241"/>
      <c r="F22" s="290"/>
      <c r="G22" s="231" t="s">
        <v>154</v>
      </c>
      <c r="H22" s="242"/>
      <c r="I22" s="231" t="s">
        <v>155</v>
      </c>
      <c r="J22" s="243"/>
      <c r="K22" s="244"/>
      <c r="L22" s="352" t="s">
        <v>156</v>
      </c>
      <c r="M22" s="353"/>
      <c r="N22" s="353"/>
      <c r="O22" s="354"/>
      <c r="P22" s="245"/>
      <c r="Q22" s="246"/>
      <c r="R22" s="246"/>
      <c r="S22" s="247" t="str">
        <f t="shared" si="1"/>
        <v/>
      </c>
      <c r="T22" s="340" t="s">
        <v>163</v>
      </c>
      <c r="U22" s="341"/>
      <c r="V22" s="341"/>
      <c r="W22" s="342"/>
      <c r="X22" s="82"/>
      <c r="Y22" s="80"/>
      <c r="Z22" s="80"/>
      <c r="AA22" s="57"/>
      <c r="AB22" s="46" t="e">
        <f>T22-HLOOKUP(V22,Minimas!$C$3:$CD$12,2,FALSE)</f>
        <v>#VALUE!</v>
      </c>
      <c r="AC22" s="46" t="e">
        <f>T22-HLOOKUP(V22,Minimas!$C$3:$CD$12,3,FALSE)</f>
        <v>#VALUE!</v>
      </c>
      <c r="AD22" s="46" t="e">
        <f>T22-HLOOKUP(V22,Minimas!$C$3:$CD$12,4,FALSE)</f>
        <v>#VALUE!</v>
      </c>
      <c r="AE22" s="46" t="e">
        <f>T22-HLOOKUP(V22,Minimas!$C$3:$CD$12,5,FALSE)</f>
        <v>#VALUE!</v>
      </c>
      <c r="AF22" s="46" t="e">
        <f>T22-HLOOKUP(V22,Minimas!$C$3:$CD$12,6,FALSE)</f>
        <v>#VALUE!</v>
      </c>
      <c r="AG22" s="46" t="e">
        <f>T22-HLOOKUP(V22,Minimas!$C$3:$CD$12,7,FALSE)</f>
        <v>#VALUE!</v>
      </c>
      <c r="AH22" s="46" t="e">
        <f>T22-HLOOKUP(V22,Minimas!$C$3:$CD$12,8,FALSE)</f>
        <v>#VALUE!</v>
      </c>
      <c r="AI22" s="46" t="e">
        <f>T22-HLOOKUP(V22,Minimas!$C$3:$CD$12,9,FALSE)</f>
        <v>#VALUE!</v>
      </c>
      <c r="AJ22" s="46" t="e">
        <f>T22-HLOOKUP(V22,Minimas!$C$3:$CD$12,10,FALSE)</f>
        <v>#VALUE!</v>
      </c>
      <c r="AK22" s="47" t="str">
        <f t="shared" si="5"/>
        <v xml:space="preserve"> </v>
      </c>
      <c r="AL22" s="47"/>
      <c r="AM22" s="47" t="str">
        <f t="shared" si="6"/>
        <v xml:space="preserve"> </v>
      </c>
      <c r="AN22" s="47" t="str">
        <f t="shared" si="7"/>
        <v xml:space="preserve"> </v>
      </c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2:107" s="4" customFormat="1" ht="30" customHeight="1" x14ac:dyDescent="0.25">
      <c r="B23" s="248"/>
      <c r="C23" s="76"/>
      <c r="D23" s="77"/>
      <c r="E23" s="226"/>
      <c r="F23" s="291"/>
      <c r="G23" s="237" t="s">
        <v>269</v>
      </c>
      <c r="H23" s="228"/>
      <c r="I23" s="237" t="s">
        <v>267</v>
      </c>
      <c r="J23" s="229"/>
      <c r="K23" s="227"/>
      <c r="L23" s="337" t="s">
        <v>294</v>
      </c>
      <c r="M23" s="338"/>
      <c r="N23" s="338"/>
      <c r="O23" s="339"/>
      <c r="P23" s="230"/>
      <c r="Q23" s="78"/>
      <c r="R23" s="78"/>
      <c r="S23" s="79"/>
      <c r="T23" s="343" t="s">
        <v>293</v>
      </c>
      <c r="U23" s="344"/>
      <c r="V23" s="344"/>
      <c r="W23" s="345"/>
      <c r="X23" s="82"/>
      <c r="Y23" s="80"/>
      <c r="Z23" s="80"/>
      <c r="AA23" s="57"/>
      <c r="AB23" s="46" t="e">
        <f>T23-HLOOKUP(V23,Minimas!$C$3:$CD$12,2,FALSE)</f>
        <v>#VALUE!</v>
      </c>
      <c r="AC23" s="46" t="e">
        <f>T23-HLOOKUP(V23,Minimas!$C$3:$CD$12,3,FALSE)</f>
        <v>#VALUE!</v>
      </c>
      <c r="AD23" s="46" t="e">
        <f>T23-HLOOKUP(V23,Minimas!$C$3:$CD$12,4,FALSE)</f>
        <v>#VALUE!</v>
      </c>
      <c r="AE23" s="46" t="e">
        <f>T23-HLOOKUP(V23,Minimas!$C$3:$CD$12,5,FALSE)</f>
        <v>#VALUE!</v>
      </c>
      <c r="AF23" s="46" t="e">
        <f>T23-HLOOKUP(V23,Minimas!$C$3:$CD$12,6,FALSE)</f>
        <v>#VALUE!</v>
      </c>
      <c r="AG23" s="46" t="e">
        <f>T23-HLOOKUP(V23,Minimas!$C$3:$CD$12,7,FALSE)</f>
        <v>#VALUE!</v>
      </c>
      <c r="AH23" s="46" t="e">
        <f>T23-HLOOKUP(V23,Minimas!$C$3:$CD$12,8,FALSE)</f>
        <v>#VALUE!</v>
      </c>
      <c r="AI23" s="46" t="e">
        <f>T23-HLOOKUP(V23,Minimas!$C$3:$CD$12,9,FALSE)</f>
        <v>#VALUE!</v>
      </c>
      <c r="AJ23" s="46" t="e">
        <f>T23-HLOOKUP(V23,Minimas!$C$3:$CD$12,10,FALSE)</f>
        <v>#VALUE!</v>
      </c>
      <c r="AK23" s="47" t="str">
        <f>IF(E23=0," ",IF(AJ23&gt;=0,$AJ$5,IF(AI23&gt;=0,$AI$5,IF(AH23&gt;=0,$AH$5,IF(AG23&gt;=0,$AG$5,IF(AF23&gt;=0,$AF$5,IF(AE23&gt;=0,$AE$5,IF(AD23&gt;=0,$AD$5,IF(AC23&gt;=0,$AC$5,$AB$5)))))))))</f>
        <v xml:space="preserve"> </v>
      </c>
      <c r="AL23" s="47"/>
      <c r="AM23" s="47" t="str">
        <f>IF(AK23="","",AK23)</f>
        <v xml:space="preserve"> </v>
      </c>
      <c r="AN23" s="47" t="str">
        <f>IF(E23=0," ",IF(AJ23&gt;=0,AJ23,IF(AI23&gt;=0,AI23,IF(AH23&gt;=0,AH23,IF(AG23&gt;=0,AG23,IF(AF23&gt;=0,AF23,IF(AE23&gt;=0,AE23,IF(AD23&gt;=0,AD23,IF(AC23&gt;=0,AC23,AB23)))))))))</f>
        <v xml:space="preserve"> </v>
      </c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</row>
    <row r="24" spans="2:107" s="4" customFormat="1" ht="30" customHeight="1" thickBot="1" x14ac:dyDescent="0.3">
      <c r="B24" s="249"/>
      <c r="C24" s="250"/>
      <c r="D24" s="251"/>
      <c r="E24" s="252"/>
      <c r="F24" s="292"/>
      <c r="G24" s="232"/>
      <c r="H24" s="253"/>
      <c r="I24" s="233"/>
      <c r="J24" s="254"/>
      <c r="K24" s="255"/>
      <c r="L24" s="234"/>
      <c r="M24" s="235"/>
      <c r="N24" s="235"/>
      <c r="O24" s="110" t="str">
        <f>IF(E24="","",IF(MAXA(L24:N24)&lt;=0,0,MAXA(L24:N24)))</f>
        <v/>
      </c>
      <c r="P24" s="256"/>
      <c r="Q24" s="235"/>
      <c r="R24" s="235"/>
      <c r="S24" s="110" t="str">
        <f>IF(E24="","",IF(MAXA(P24:R24)&lt;=0,0,MAXA(P24:R24)))</f>
        <v/>
      </c>
      <c r="T24" s="111" t="str">
        <f>IF(E24="","",IF(OR(O24=0,S24=0),0,O24+S24))</f>
        <v/>
      </c>
      <c r="U24" s="112" t="str">
        <f>+CONCATENATE(AM24," ",AN24)</f>
        <v xml:space="preserve">   </v>
      </c>
      <c r="V24" s="236" t="str">
        <f>IF(E24=0," ",IF(E24="H",IF(H24&lt;=SENIORS_Min,VLOOKUP(K24,Minimas!$A$15:$F$29,6),IF(AND(H24&gt;=U20_Min,H24&lt;=U20_Max),VLOOKUP(K24,Minimas!$A$15:$F$29,5),IF(AND(H24&gt;=U17_Min,H24&lt;=U17_Max),VLOOKUP(K24,Minimas!$A$15:$F$29,4),IF(AND(H24&gt;=U15_Min,H24&lt;=U15_Max),VLOOKUP(K24,Minimas!$A$15:$F$29,3),VLOOKUP(K24,Minimas!$A$15:$F$29,2))))),IF(H24&lt;=SENIORS_Min,VLOOKUP(K24,Minimas!$G$15:$L$29,6),IF(AND(H24&gt;=U20_Min,H24&lt;=U20_Max),VLOOKUP(K24,Minimas!$G$15:$L$29,5),IF(AND(H24&gt;=U17_Min,H24&lt;=U17_Max),VLOOKUP(K24,Minimas!$G$15:$L$29,4),IF(AND(H24&gt;=U15_Min,H24&lt;=U15_Max),VLOOKUP(K24,Minimas!$G$15:$L$29,3),VLOOKUP(K24,Minimas!$G$15:$L$29,2)))))))</f>
        <v xml:space="preserve"> </v>
      </c>
      <c r="W24" s="114" t="str">
        <f>IF(E24=" "," ",IF(E24="H",10^(0.722762521*LOG(K24/193.609)^2)*T24,IF(E24="F",10^(0.787004341* LOG(K24/153.757)^2)*T24,"")))</f>
        <v/>
      </c>
      <c r="X24" s="82"/>
      <c r="Y24" s="80"/>
      <c r="Z24" s="80"/>
      <c r="AA24" s="57"/>
      <c r="AB24" s="46" t="e">
        <f>T24-HLOOKUP(V24,Minimas!$C$3:$CD$12,2,FALSE)</f>
        <v>#VALUE!</v>
      </c>
      <c r="AC24" s="46" t="e">
        <f>T24-HLOOKUP(V24,Minimas!$C$3:$CD$12,3,FALSE)</f>
        <v>#VALUE!</v>
      </c>
      <c r="AD24" s="46" t="e">
        <f>T24-HLOOKUP(V24,Minimas!$C$3:$CD$12,4,FALSE)</f>
        <v>#VALUE!</v>
      </c>
      <c r="AE24" s="46" t="e">
        <f>T24-HLOOKUP(V24,Minimas!$C$3:$CD$12,5,FALSE)</f>
        <v>#VALUE!</v>
      </c>
      <c r="AF24" s="46" t="e">
        <f>T24-HLOOKUP(V24,Minimas!$C$3:$CD$12,6,FALSE)</f>
        <v>#VALUE!</v>
      </c>
      <c r="AG24" s="46" t="e">
        <f>T24-HLOOKUP(V24,Minimas!$C$3:$CD$12,7,FALSE)</f>
        <v>#VALUE!</v>
      </c>
      <c r="AH24" s="46" t="e">
        <f>T24-HLOOKUP(V24,Minimas!$C$3:$CD$12,8,FALSE)</f>
        <v>#VALUE!</v>
      </c>
      <c r="AI24" s="46" t="e">
        <f>T24-HLOOKUP(V24,Minimas!$C$3:$CD$12,9,FALSE)</f>
        <v>#VALUE!</v>
      </c>
      <c r="AJ24" s="46" t="e">
        <f>T24-HLOOKUP(V24,Minimas!$C$3:$CD$12,10,FALSE)</f>
        <v>#VALUE!</v>
      </c>
      <c r="AK24" s="47" t="str">
        <f>IF(E24=0," ",IF(AJ24&gt;=0,$AJ$5,IF(AI24&gt;=0,$AI$5,IF(AH24&gt;=0,$AH$5,IF(AG24&gt;=0,$AG$5,IF(AF24&gt;=0,$AF$5,IF(AE24&gt;=0,$AE$5,IF(AD24&gt;=0,$AD$5,IF(AC24&gt;=0,$AC$5,$AB$5)))))))))</f>
        <v xml:space="preserve"> </v>
      </c>
      <c r="AL24" s="47"/>
      <c r="AM24" s="47" t="str">
        <f>IF(AK24="","",AK24)</f>
        <v xml:space="preserve"> </v>
      </c>
      <c r="AN24" s="47" t="str">
        <f>IF(E24=0," ",IF(AJ24&gt;=0,AJ24,IF(AI24&gt;=0,AI24,IF(AH24&gt;=0,AH24,IF(AG24&gt;=0,AG24,IF(AF24&gt;=0,AF24,IF(AE24&gt;=0,AE24,IF(AD24&gt;=0,AD24,IF(AC24&gt;=0,AC24,AB24)))))))))</f>
        <v xml:space="preserve"> </v>
      </c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</row>
    <row r="25" spans="2:107" x14ac:dyDescent="0.25">
      <c r="X25" s="58"/>
    </row>
  </sheetData>
  <mergeCells count="8">
    <mergeCell ref="L23:O23"/>
    <mergeCell ref="T22:W22"/>
    <mergeCell ref="T23:W23"/>
    <mergeCell ref="D2:W2"/>
    <mergeCell ref="N3:S3"/>
    <mergeCell ref="V3:W3"/>
    <mergeCell ref="L22:O22"/>
    <mergeCell ref="D3:M3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63" orientation="landscape" horizontalDpi="300" verticalDpi="300" r:id="rId1"/>
  <headerFooter alignWithMargins="0"/>
  <colBreaks count="1" manualBreakCount="1">
    <brk id="27" max="739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A63"/>
  <sheetViews>
    <sheetView topLeftCell="A45" zoomScale="69" zoomScaleNormal="75" zoomScaleSheetLayoutView="100" workbookViewId="0">
      <selection activeCell="E36" sqref="E36"/>
    </sheetView>
  </sheetViews>
  <sheetFormatPr baseColWidth="10" defaultColWidth="11.44140625" defaultRowHeight="15.6" x14ac:dyDescent="0.25"/>
  <cols>
    <col min="1" max="1" width="1.6640625" style="1" customWidth="1"/>
    <col min="2" max="2" width="5.6640625" style="1" customWidth="1"/>
    <col min="3" max="3" width="9.6640625" style="1" customWidth="1"/>
    <col min="4" max="4" width="7.5546875" style="73" customWidth="1"/>
    <col min="5" max="5" width="6.6640625" style="1" customWidth="1"/>
    <col min="6" max="6" width="20.88671875" style="1" customWidth="1"/>
    <col min="7" max="7" width="50.6640625" style="1" customWidth="1"/>
    <col min="8" max="8" width="5.88671875" style="61" customWidth="1"/>
    <col min="9" max="9" width="34.5546875" style="66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hidden="1" customWidth="1"/>
    <col min="22" max="22" width="12" style="69" hidden="1" customWidth="1"/>
    <col min="23" max="23" width="11.33203125" style="1" customWidth="1"/>
    <col min="24" max="24" width="20.6640625" style="3" customWidth="1"/>
    <col min="25" max="25" width="41" style="3" customWidth="1"/>
    <col min="26" max="88" width="11.44140625" style="22"/>
    <col min="89" max="16384" width="11.44140625" style="1"/>
  </cols>
  <sheetData>
    <row r="1" spans="1:105" ht="5.0999999999999996" customHeight="1" x14ac:dyDescent="0.25"/>
    <row r="2" spans="1:105" s="7" customFormat="1" ht="30" customHeight="1" x14ac:dyDescent="0.25">
      <c r="D2" s="346" t="s">
        <v>127</v>
      </c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8"/>
      <c r="X2" s="55"/>
      <c r="Y2" s="55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</row>
    <row r="3" spans="1:105" s="7" customFormat="1" ht="30" customHeight="1" x14ac:dyDescent="0.25">
      <c r="D3" s="355" t="s">
        <v>137</v>
      </c>
      <c r="E3" s="349"/>
      <c r="F3" s="349"/>
      <c r="G3" s="349"/>
      <c r="H3" s="349"/>
      <c r="I3" s="349"/>
      <c r="J3" s="349"/>
      <c r="K3" s="349"/>
      <c r="L3" s="63"/>
      <c r="M3" s="63"/>
      <c r="N3" s="349" t="s">
        <v>128</v>
      </c>
      <c r="O3" s="349"/>
      <c r="P3" s="349"/>
      <c r="Q3" s="349"/>
      <c r="R3" s="349"/>
      <c r="S3" s="349"/>
      <c r="T3" s="63"/>
      <c r="U3" s="70"/>
      <c r="V3" s="379">
        <v>46193</v>
      </c>
      <c r="W3" s="380"/>
      <c r="X3" s="55"/>
      <c r="Y3" s="55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</row>
    <row r="4" spans="1:105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</row>
    <row r="5" spans="1:105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138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</row>
    <row r="6" spans="1:105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</row>
    <row r="7" spans="1:105" s="6" customFormat="1" ht="24" customHeight="1" thickBot="1" x14ac:dyDescent="0.3">
      <c r="A7" s="5"/>
      <c r="B7" s="385" t="s">
        <v>141</v>
      </c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56"/>
      <c r="Y7" s="56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</row>
    <row r="8" spans="1:105" s="4" customFormat="1" ht="30" customHeight="1" thickBot="1" x14ac:dyDescent="0.3">
      <c r="B8" s="115">
        <f>'plateau 1 '!B7</f>
        <v>1</v>
      </c>
      <c r="C8" s="115">
        <f>'plateau 1 '!C7</f>
        <v>0</v>
      </c>
      <c r="D8" s="115">
        <f>'plateau 1 '!D7</f>
        <v>0</v>
      </c>
      <c r="E8" s="115" t="str">
        <f>'plateau 1 '!E7</f>
        <v>f</v>
      </c>
      <c r="F8" s="115" t="str">
        <f>'plateau 1 '!F7</f>
        <v>RICHEZ</v>
      </c>
      <c r="G8" s="115" t="str">
        <f>'plateau 1 '!G7</f>
        <v>Albane</v>
      </c>
      <c r="H8" s="115">
        <f>'plateau 1 '!H7</f>
        <v>2008</v>
      </c>
      <c r="I8" s="115" t="str">
        <f>'plateau 1 '!I7</f>
        <v>Nord</v>
      </c>
      <c r="J8" s="115" t="str">
        <f>'plateau 1 '!J7</f>
        <v>FR</v>
      </c>
      <c r="K8" s="115">
        <f>'plateau 1 '!K7</f>
        <v>60.5</v>
      </c>
      <c r="L8" s="115">
        <f>'plateau 1 '!L7</f>
        <v>50</v>
      </c>
      <c r="M8" s="115">
        <f>'plateau 1 '!M7</f>
        <v>54</v>
      </c>
      <c r="N8" s="115">
        <f>'plateau 1 '!N7</f>
        <v>-57</v>
      </c>
      <c r="O8" s="115">
        <f>'plateau 1 '!O7</f>
        <v>54</v>
      </c>
      <c r="P8" s="115">
        <f>'plateau 1 '!P7</f>
        <v>65</v>
      </c>
      <c r="Q8" s="115">
        <f>'plateau 1 '!Q7</f>
        <v>68</v>
      </c>
      <c r="R8" s="115">
        <f>'plateau 1 '!R7</f>
        <v>-72</v>
      </c>
      <c r="S8" s="115">
        <f>'plateau 1 '!S7</f>
        <v>68</v>
      </c>
      <c r="T8" s="115">
        <f>'plateau 1 '!T7</f>
        <v>122</v>
      </c>
      <c r="U8" s="115" t="str">
        <f>'plateau 1 '!U7</f>
        <v>NAT + 12</v>
      </c>
      <c r="V8" s="115" t="str">
        <f>'plateau 1 '!V7</f>
        <v>U15 F64</v>
      </c>
      <c r="W8" s="115">
        <f>'plateau 1 '!W7</f>
        <v>164.24755597365228</v>
      </c>
      <c r="X8" s="82"/>
      <c r="Y8" s="80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</row>
    <row r="9" spans="1:105" s="4" customFormat="1" ht="30" customHeight="1" thickBot="1" x14ac:dyDescent="0.3">
      <c r="B9" s="115">
        <f>'plateau 1 '!B8</f>
        <v>2</v>
      </c>
      <c r="C9" s="115">
        <f>'plateau 1 '!C8</f>
        <v>0</v>
      </c>
      <c r="D9" s="115">
        <f>'plateau 1 '!D8</f>
        <v>0</v>
      </c>
      <c r="E9" s="115" t="str">
        <f>'plateau 1 '!E8</f>
        <v>f</v>
      </c>
      <c r="F9" s="115" t="str">
        <f>'plateau 1 '!F8</f>
        <v>TREVILLOT</v>
      </c>
      <c r="G9" s="115" t="str">
        <f>'plateau 1 '!G8</f>
        <v>Jeanne</v>
      </c>
      <c r="H9" s="115">
        <f>'plateau 1 '!H8</f>
        <v>2011</v>
      </c>
      <c r="I9" s="115" t="str">
        <f>'plateau 1 '!I8</f>
        <v>Sélection France</v>
      </c>
      <c r="J9" s="115" t="str">
        <f>'plateau 1 '!J8</f>
        <v>FR</v>
      </c>
      <c r="K9" s="115">
        <f>'plateau 1 '!K8</f>
        <v>52.8</v>
      </c>
      <c r="L9" s="115">
        <f>'plateau 1 '!L8</f>
        <v>55</v>
      </c>
      <c r="M9" s="115">
        <f>'plateau 1 '!M8</f>
        <v>-57</v>
      </c>
      <c r="N9" s="115">
        <f>'plateau 1 '!N8</f>
        <v>-57</v>
      </c>
      <c r="O9" s="115">
        <f>'plateau 1 '!O8</f>
        <v>55</v>
      </c>
      <c r="P9" s="115">
        <f>'plateau 1 '!P8</f>
        <v>-68</v>
      </c>
      <c r="Q9" s="115">
        <f>'plateau 1 '!Q8</f>
        <v>68</v>
      </c>
      <c r="R9" s="115">
        <f>'plateau 1 '!R8</f>
        <v>-70</v>
      </c>
      <c r="S9" s="115">
        <f>'plateau 1 '!S8</f>
        <v>68</v>
      </c>
      <c r="T9" s="115">
        <f>'plateau 1 '!T8</f>
        <v>123</v>
      </c>
      <c r="U9" s="115" t="e">
        <f>'plateau 1 '!U8</f>
        <v>#N/A</v>
      </c>
      <c r="V9" s="115" t="str">
        <f>'plateau 1 '!V8</f>
        <v>NON</v>
      </c>
      <c r="W9" s="115">
        <f>'plateau 1 '!W8</f>
        <v>181.75685918191846</v>
      </c>
      <c r="X9" s="82"/>
      <c r="Y9" s="80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</row>
    <row r="10" spans="1:105" s="4" customFormat="1" ht="30" customHeight="1" thickBot="1" x14ac:dyDescent="0.3">
      <c r="B10" s="115">
        <f>'plateau 1 '!B9</f>
        <v>3</v>
      </c>
      <c r="C10" s="115">
        <f>'plateau 1 '!C9</f>
        <v>0</v>
      </c>
      <c r="D10" s="115">
        <f>'plateau 1 '!D9</f>
        <v>0</v>
      </c>
      <c r="E10" s="115" t="str">
        <f>'plateau 1 '!E9</f>
        <v>F</v>
      </c>
      <c r="F10" s="115" t="str">
        <f>'plateau 1 '!F9</f>
        <v>NSEGMA</v>
      </c>
      <c r="G10" s="115" t="str">
        <f>'plateau 1 '!G9</f>
        <v>Maelle</v>
      </c>
      <c r="H10" s="115">
        <f>'plateau 1 '!H9</f>
        <v>2008</v>
      </c>
      <c r="I10" s="115" t="str">
        <f>'plateau 1 '!I9</f>
        <v>Espoir cominois</v>
      </c>
      <c r="J10" s="115" t="str">
        <f>'plateau 1 '!J9</f>
        <v>FR</v>
      </c>
      <c r="K10" s="115">
        <f>'plateau 1 '!K9</f>
        <v>61.8</v>
      </c>
      <c r="L10" s="115">
        <f>'plateau 1 '!L9</f>
        <v>52</v>
      </c>
      <c r="M10" s="115">
        <f>'plateau 1 '!M9</f>
        <v>55</v>
      </c>
      <c r="N10" s="115">
        <f>'plateau 1 '!N9</f>
        <v>57</v>
      </c>
      <c r="O10" s="115">
        <f>'plateau 1 '!O9</f>
        <v>57</v>
      </c>
      <c r="P10" s="115">
        <f>'plateau 1 '!P9</f>
        <v>62</v>
      </c>
      <c r="Q10" s="115">
        <f>'plateau 1 '!Q9</f>
        <v>-65</v>
      </c>
      <c r="R10" s="115">
        <f>'plateau 1 '!R9</f>
        <v>-66</v>
      </c>
      <c r="S10" s="115">
        <f>'plateau 1 '!S9</f>
        <v>62</v>
      </c>
      <c r="T10" s="115">
        <f>'plateau 1 '!T9</f>
        <v>119</v>
      </c>
      <c r="U10" s="115" t="str">
        <f>'plateau 1 '!U9</f>
        <v>NAT + 9</v>
      </c>
      <c r="V10" s="115" t="str">
        <f>'plateau 1 '!V9</f>
        <v>U15 F64</v>
      </c>
      <c r="W10" s="115">
        <f>'plateau 1 '!W9</f>
        <v>158.07606853932646</v>
      </c>
      <c r="X10" s="82"/>
      <c r="Y10" s="80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</row>
    <row r="11" spans="1:105" s="4" customFormat="1" ht="30" customHeight="1" thickBot="1" x14ac:dyDescent="0.3">
      <c r="B11" s="115">
        <f>'plateau 1 '!B10</f>
        <v>4</v>
      </c>
      <c r="C11" s="115">
        <f>'plateau 1 '!C10</f>
        <v>0</v>
      </c>
      <c r="D11" s="115">
        <f>'plateau 1 '!D10</f>
        <v>0</v>
      </c>
      <c r="E11" s="115" t="str">
        <f>'plateau 1 '!E10</f>
        <v>f</v>
      </c>
      <c r="F11" s="115" t="str">
        <f>'plateau 1 '!F10</f>
        <v>BEAUGER</v>
      </c>
      <c r="G11" s="115" t="str">
        <f>'plateau 1 '!G10</f>
        <v>Clara</v>
      </c>
      <c r="H11" s="115">
        <f>'plateau 1 '!H10</f>
        <v>2012</v>
      </c>
      <c r="I11" s="115" t="str">
        <f>'plateau 1 '!I10</f>
        <v>Sélection France</v>
      </c>
      <c r="J11" s="115" t="str">
        <f>'plateau 1 '!J10</f>
        <v>FR</v>
      </c>
      <c r="K11" s="115">
        <f>'plateau 1 '!K10</f>
        <v>55.45</v>
      </c>
      <c r="L11" s="115">
        <f>'plateau 1 '!L10</f>
        <v>56</v>
      </c>
      <c r="M11" s="115">
        <f>'plateau 1 '!M10</f>
        <v>58</v>
      </c>
      <c r="N11" s="115">
        <f>'plateau 1 '!N10</f>
        <v>60</v>
      </c>
      <c r="O11" s="115">
        <f>'plateau 1 '!O10</f>
        <v>60</v>
      </c>
      <c r="P11" s="115">
        <f>'plateau 1 '!P10</f>
        <v>66</v>
      </c>
      <c r="Q11" s="115">
        <f>'plateau 1 '!Q10</f>
        <v>69</v>
      </c>
      <c r="R11" s="115">
        <f>'plateau 1 '!R10</f>
        <v>-72</v>
      </c>
      <c r="S11" s="115">
        <f>'plateau 1 '!S10</f>
        <v>69</v>
      </c>
      <c r="T11" s="115">
        <f>'plateau 1 '!T10</f>
        <v>129</v>
      </c>
      <c r="U11" s="115" t="e">
        <f>'plateau 1 '!U10</f>
        <v>#N/A</v>
      </c>
      <c r="V11" s="115" t="str">
        <f>'plateau 1 '!V10</f>
        <v>NON</v>
      </c>
      <c r="W11" s="115">
        <f>'plateau 1 '!W10</f>
        <v>184.07383139476144</v>
      </c>
      <c r="X11" s="82"/>
      <c r="Y11" s="80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</row>
    <row r="12" spans="1:105" s="4" customFormat="1" ht="30" customHeight="1" thickBot="1" x14ac:dyDescent="0.3">
      <c r="B12" s="115">
        <f>'plateau 1 '!B11</f>
        <v>5</v>
      </c>
      <c r="C12" s="115">
        <f>'plateau 1 '!C11</f>
        <v>0</v>
      </c>
      <c r="D12" s="115">
        <f>'plateau 1 '!D11</f>
        <v>0</v>
      </c>
      <c r="E12" s="115" t="str">
        <f>'plateau 1 '!E11</f>
        <v>F</v>
      </c>
      <c r="F12" s="115" t="str">
        <f>'plateau 1 '!F11</f>
        <v>LESAGE</v>
      </c>
      <c r="G12" s="115" t="str">
        <f>'plateau 1 '!G11</f>
        <v>Pauline</v>
      </c>
      <c r="H12" s="115">
        <f>'plateau 1 '!H11</f>
        <v>1992</v>
      </c>
      <c r="I12" s="115" t="str">
        <f>'plateau 1 '!I11</f>
        <v>Pas de Calais</v>
      </c>
      <c r="J12" s="115" t="str">
        <f>'plateau 1 '!J11</f>
        <v>FR</v>
      </c>
      <c r="K12" s="115">
        <f>'plateau 1 '!K11</f>
        <v>68.8</v>
      </c>
      <c r="L12" s="115">
        <f>'plateau 1 '!L11</f>
        <v>63</v>
      </c>
      <c r="M12" s="115">
        <f>'plateau 1 '!M11</f>
        <v>-66</v>
      </c>
      <c r="N12" s="115">
        <f>'plateau 1 '!N11</f>
        <v>66</v>
      </c>
      <c r="O12" s="115">
        <f>'plateau 1 '!O11</f>
        <v>66</v>
      </c>
      <c r="P12" s="115">
        <f>'plateau 1 '!P11</f>
        <v>-75</v>
      </c>
      <c r="Q12" s="115">
        <f>'plateau 1 '!Q11</f>
        <v>75</v>
      </c>
      <c r="R12" s="115">
        <f>'plateau 1 '!R11</f>
        <v>80</v>
      </c>
      <c r="S12" s="115">
        <f>'plateau 1 '!S11</f>
        <v>80</v>
      </c>
      <c r="T12" s="115">
        <f>'plateau 1 '!T11</f>
        <v>146</v>
      </c>
      <c r="U12" s="115" t="str">
        <f>'plateau 1 '!U11</f>
        <v>IRG + 16</v>
      </c>
      <c r="V12" s="115" t="str">
        <f>'plateau 1 '!V11</f>
        <v>SE F71</v>
      </c>
      <c r="W12" s="115">
        <f>'plateau 1 '!W11</f>
        <v>182.11520462683154</v>
      </c>
      <c r="X12" s="82"/>
      <c r="Y12" s="80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1:105" s="4" customFormat="1" ht="30" customHeight="1" thickBot="1" x14ac:dyDescent="0.3">
      <c r="B13" s="115">
        <f>'plateau 1 '!B12</f>
        <v>6</v>
      </c>
      <c r="C13" s="115">
        <f>'plateau 1 '!C12</f>
        <v>0</v>
      </c>
      <c r="D13" s="115">
        <f>'plateau 1 '!D12</f>
        <v>0</v>
      </c>
      <c r="E13" s="115" t="str">
        <f>'plateau 1 '!E12</f>
        <v>F</v>
      </c>
      <c r="F13" s="115" t="str">
        <f>'plateau 1 '!F12</f>
        <v>BIZEAU</v>
      </c>
      <c r="G13" s="115" t="str">
        <f>'plateau 1 '!G12</f>
        <v>Alexine</v>
      </c>
      <c r="H13" s="115">
        <f>'plateau 1 '!H12</f>
        <v>2007</v>
      </c>
      <c r="I13" s="115" t="str">
        <f>'plateau 1 '!I12</f>
        <v>Cle Amiens</v>
      </c>
      <c r="J13" s="115" t="str">
        <f>'plateau 1 '!J12</f>
        <v>FR</v>
      </c>
      <c r="K13" s="115">
        <f>'plateau 1 '!K12</f>
        <v>48.4</v>
      </c>
      <c r="L13" s="115">
        <f>'plateau 1 '!L12</f>
        <v>60</v>
      </c>
      <c r="M13" s="115">
        <f>'plateau 1 '!M12</f>
        <v>63</v>
      </c>
      <c r="N13" s="115">
        <f>'plateau 1 '!N12</f>
        <v>-66</v>
      </c>
      <c r="O13" s="115">
        <f>'plateau 1 '!O12</f>
        <v>63</v>
      </c>
      <c r="P13" s="115">
        <f>'plateau 1 '!P12</f>
        <v>-76</v>
      </c>
      <c r="Q13" s="115">
        <f>'plateau 1 '!Q12</f>
        <v>76</v>
      </c>
      <c r="R13" s="115">
        <f>'plateau 1 '!R12</f>
        <v>-79</v>
      </c>
      <c r="S13" s="115">
        <f>'plateau 1 '!S12</f>
        <v>76</v>
      </c>
      <c r="T13" s="115">
        <f>'plateau 1 '!T12</f>
        <v>139</v>
      </c>
      <c r="U13" s="115" t="e">
        <f>'plateau 1 '!U12</f>
        <v>#N/A</v>
      </c>
      <c r="V13" s="115" t="str">
        <f>'plateau 1 '!V12</f>
        <v>U17 F53</v>
      </c>
      <c r="W13" s="115">
        <f>'plateau 1 '!W12</f>
        <v>219.44958982175677</v>
      </c>
      <c r="X13" s="82"/>
      <c r="Y13" s="80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</row>
    <row r="14" spans="1:105" s="4" customFormat="1" ht="30" customHeight="1" thickBot="1" x14ac:dyDescent="0.3">
      <c r="B14" s="115">
        <f>'plateau 1 '!B13</f>
        <v>7</v>
      </c>
      <c r="C14" s="115">
        <f>'plateau 1 '!C13</f>
        <v>0</v>
      </c>
      <c r="D14" s="115">
        <f>'plateau 1 '!D13</f>
        <v>0</v>
      </c>
      <c r="E14" s="115" t="str">
        <f>'plateau 1 '!E13</f>
        <v>F</v>
      </c>
      <c r="F14" s="115" t="str">
        <f>'plateau 1 '!F13</f>
        <v>PHAM</v>
      </c>
      <c r="G14" s="115" t="str">
        <f>'plateau 1 '!G13</f>
        <v>Lee na</v>
      </c>
      <c r="H14" s="115">
        <f>'plateau 1 '!H13</f>
        <v>2006</v>
      </c>
      <c r="I14" s="115" t="str">
        <f>'plateau 1 '!I13</f>
        <v>Pas de Calais</v>
      </c>
      <c r="J14" s="115" t="str">
        <f>'plateau 1 '!J13</f>
        <v>FR</v>
      </c>
      <c r="K14" s="115">
        <f>'plateau 1 '!K13</f>
        <v>54.5</v>
      </c>
      <c r="L14" s="115">
        <f>'plateau 1 '!L13</f>
        <v>63</v>
      </c>
      <c r="M14" s="115">
        <f>'plateau 1 '!M13</f>
        <v>67</v>
      </c>
      <c r="N14" s="115">
        <f>'plateau 1 '!N13</f>
        <v>-70</v>
      </c>
      <c r="O14" s="115">
        <f>'plateau 1 '!O13</f>
        <v>67</v>
      </c>
      <c r="P14" s="115">
        <f>'plateau 1 '!P13</f>
        <v>81</v>
      </c>
      <c r="Q14" s="115">
        <f>'plateau 1 '!Q13</f>
        <v>85</v>
      </c>
      <c r="R14" s="115">
        <f>'plateau 1 '!R13</f>
        <v>-88</v>
      </c>
      <c r="S14" s="115">
        <f>'plateau 1 '!S13</f>
        <v>85</v>
      </c>
      <c r="T14" s="115">
        <f>'plateau 1 '!T13</f>
        <v>152</v>
      </c>
      <c r="U14" s="115" t="e">
        <f>'plateau 1 '!U13</f>
        <v>#N/A</v>
      </c>
      <c r="V14" s="115" t="str">
        <f>'plateau 1 '!V13</f>
        <v>U17 F53</v>
      </c>
      <c r="W14" s="115">
        <f>'plateau 1 '!W13</f>
        <v>219.54453694559535</v>
      </c>
      <c r="X14" s="82"/>
      <c r="Y14" s="80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1:105" s="4" customFormat="1" ht="30" customHeight="1" thickBot="1" x14ac:dyDescent="0.3">
      <c r="B15" s="115">
        <f>'plateau 1 '!B14</f>
        <v>8</v>
      </c>
      <c r="C15" s="115">
        <f>'plateau 1 '!C14</f>
        <v>0</v>
      </c>
      <c r="D15" s="115">
        <f>'plateau 1 '!D14</f>
        <v>0</v>
      </c>
      <c r="E15" s="115" t="str">
        <f>'plateau 1 '!E14</f>
        <v>F</v>
      </c>
      <c r="F15" s="115" t="str">
        <f>'plateau 1 '!F14</f>
        <v>RICHEVAUX</v>
      </c>
      <c r="G15" s="115" t="str">
        <f>'plateau 1 '!G14</f>
        <v>Jade</v>
      </c>
      <c r="H15" s="115">
        <f>'plateau 1 '!H14</f>
        <v>2009</v>
      </c>
      <c r="I15" s="115" t="str">
        <f>'plateau 1 '!I14</f>
        <v>Franconville</v>
      </c>
      <c r="J15" s="115" t="str">
        <f>'plateau 1 '!J14</f>
        <v>FR</v>
      </c>
      <c r="K15" s="115">
        <f>'plateau 1 '!K14</f>
        <v>58.8</v>
      </c>
      <c r="L15" s="115">
        <f>'plateau 1 '!L14</f>
        <v>60</v>
      </c>
      <c r="M15" s="115">
        <f>'plateau 1 '!M14</f>
        <v>-64</v>
      </c>
      <c r="N15" s="115">
        <f>'plateau 1 '!N14</f>
        <v>-65</v>
      </c>
      <c r="O15" s="115">
        <f>'plateau 1 '!O14</f>
        <v>60</v>
      </c>
      <c r="P15" s="115">
        <f>'plateau 1 '!P14</f>
        <v>70</v>
      </c>
      <c r="Q15" s="115">
        <f>'plateau 1 '!Q14</f>
        <v>75</v>
      </c>
      <c r="R15" s="115">
        <f>'plateau 1 '!R14</f>
        <v>-78</v>
      </c>
      <c r="S15" s="115">
        <f>'plateau 1 '!S14</f>
        <v>75</v>
      </c>
      <c r="T15" s="115">
        <f>'plateau 1 '!T14</f>
        <v>135</v>
      </c>
      <c r="U15" s="115" t="str">
        <f>'plateau 1 '!U14</f>
        <v>INTB + 15</v>
      </c>
      <c r="V15" s="115" t="str">
        <f>'plateau 1 '!V14</f>
        <v>U15 F59</v>
      </c>
      <c r="W15" s="115">
        <f>'plateau 1 '!W14</f>
        <v>185.13377763399458</v>
      </c>
      <c r="X15" s="82"/>
      <c r="Y15" s="80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</row>
    <row r="16" spans="1:105" s="4" customFormat="1" ht="30" customHeight="1" thickBot="1" x14ac:dyDescent="0.3">
      <c r="B16" s="115">
        <f>'plateau 1 '!B15</f>
        <v>9</v>
      </c>
      <c r="C16" s="115">
        <f>'plateau 1 '!C15</f>
        <v>0</v>
      </c>
      <c r="D16" s="115">
        <f>'plateau 1 '!D15</f>
        <v>0</v>
      </c>
      <c r="E16" s="115" t="str">
        <f>'plateau 1 '!E15</f>
        <v>F</v>
      </c>
      <c r="F16" s="115" t="str">
        <f>'plateau 1 '!F15</f>
        <v>SAINT MAXENT</v>
      </c>
      <c r="G16" s="115" t="str">
        <f>'plateau 1 '!G15</f>
        <v>Manon</v>
      </c>
      <c r="H16" s="115">
        <f>'plateau 1 '!H15</f>
        <v>1994</v>
      </c>
      <c r="I16" s="115" t="str">
        <f>'plateau 1 '!I15</f>
        <v>Comines</v>
      </c>
      <c r="J16" s="115" t="str">
        <f>'plateau 1 '!J15</f>
        <v>FR</v>
      </c>
      <c r="K16" s="115">
        <f>'plateau 1 '!K15</f>
        <v>52.65</v>
      </c>
      <c r="L16" s="115">
        <f>'plateau 1 '!L15</f>
        <v>60</v>
      </c>
      <c r="M16" s="115">
        <f>'plateau 1 '!M15</f>
        <v>65</v>
      </c>
      <c r="N16" s="115">
        <f>'plateau 1 '!N15</f>
        <v>-68</v>
      </c>
      <c r="O16" s="115">
        <f>'plateau 1 '!O15</f>
        <v>65</v>
      </c>
      <c r="P16" s="115">
        <f>'plateau 1 '!P15</f>
        <v>75</v>
      </c>
      <c r="Q16" s="115">
        <f>'plateau 1 '!Q15</f>
        <v>78</v>
      </c>
      <c r="R16" s="115">
        <f>'plateau 1 '!R15</f>
        <v>81</v>
      </c>
      <c r="S16" s="115">
        <f>'plateau 1 '!S15</f>
        <v>81</v>
      </c>
      <c r="T16" s="115">
        <f>'plateau 1 '!T15</f>
        <v>146</v>
      </c>
      <c r="U16" s="115" t="e">
        <f>'plateau 1 '!U15</f>
        <v>#N/A</v>
      </c>
      <c r="V16" s="115" t="str">
        <f>'plateau 1 '!V15</f>
        <v>SE F53</v>
      </c>
      <c r="W16" s="115">
        <f>'plateau 1 '!W15</f>
        <v>216.19344172475877</v>
      </c>
      <c r="X16" s="82"/>
      <c r="Y16" s="80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2:88" s="4" customFormat="1" ht="30" customHeight="1" thickBot="1" x14ac:dyDescent="0.3">
      <c r="B17" s="115">
        <f>'plateau 1 '!B16</f>
        <v>10</v>
      </c>
      <c r="C17" s="115">
        <f>'plateau 1 '!C16</f>
        <v>0</v>
      </c>
      <c r="D17" s="115">
        <f>'plateau 1 '!D16</f>
        <v>0</v>
      </c>
      <c r="E17" s="115" t="str">
        <f>'plateau 1 '!E16</f>
        <v>F</v>
      </c>
      <c r="F17" s="115" t="str">
        <f>'plateau 1 '!F16</f>
        <v>BOKALO</v>
      </c>
      <c r="G17" s="115" t="str">
        <f>'plateau 1 '!G16</f>
        <v>Antonina</v>
      </c>
      <c r="H17" s="115">
        <f>'plateau 1 '!H16</f>
        <v>2008</v>
      </c>
      <c r="I17" s="115" t="str">
        <f>'plateau 1 '!I16</f>
        <v>Ukraine</v>
      </c>
      <c r="J17" s="115" t="str">
        <f>'plateau 1 '!J16</f>
        <v>UKR</v>
      </c>
      <c r="K17" s="115">
        <f>'plateau 1 '!K16</f>
        <v>61.65</v>
      </c>
      <c r="L17" s="115">
        <f>'plateau 1 '!L16</f>
        <v>67</v>
      </c>
      <c r="M17" s="115">
        <f>'plateau 1 '!M16</f>
        <v>-71</v>
      </c>
      <c r="N17" s="115">
        <f>'plateau 1 '!N16</f>
        <v>71</v>
      </c>
      <c r="O17" s="115">
        <f>'plateau 1 '!O16</f>
        <v>71</v>
      </c>
      <c r="P17" s="115">
        <f>'plateau 1 '!P16</f>
        <v>84</v>
      </c>
      <c r="Q17" s="115">
        <f>'plateau 1 '!Q16</f>
        <v>-88</v>
      </c>
      <c r="R17" s="115">
        <f>'plateau 1 '!R16</f>
        <v>88</v>
      </c>
      <c r="S17" s="115">
        <f>'plateau 1 '!S16</f>
        <v>88</v>
      </c>
      <c r="T17" s="115">
        <f>'plateau 1 '!T16</f>
        <v>159</v>
      </c>
      <c r="U17" s="115" t="str">
        <f>'plateau 1 '!U16</f>
        <v>INTA + 14</v>
      </c>
      <c r="V17" s="115" t="str">
        <f>'plateau 1 '!V16</f>
        <v>U15 F64</v>
      </c>
      <c r="W17" s="115">
        <f>'plateau 1 '!W16</f>
        <v>211.53135220638168</v>
      </c>
      <c r="X17" s="82"/>
      <c r="Y17" s="80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</row>
    <row r="18" spans="2:88" s="4" customFormat="1" ht="30" customHeight="1" thickBot="1" x14ac:dyDescent="0.3">
      <c r="B18" s="115">
        <f>'plateau 1 '!B17</f>
        <v>11</v>
      </c>
      <c r="C18" s="115">
        <f>'plateau 1 '!C17</f>
        <v>0</v>
      </c>
      <c r="D18" s="115">
        <f>'plateau 1 '!D17</f>
        <v>0</v>
      </c>
      <c r="E18" s="115" t="str">
        <f>'plateau 1 '!E17</f>
        <v>F</v>
      </c>
      <c r="F18" s="115" t="str">
        <f>'plateau 1 '!F17</f>
        <v>LUBIN</v>
      </c>
      <c r="G18" s="115" t="str">
        <f>'plateau 1 '!G17</f>
        <v>Darnley</v>
      </c>
      <c r="H18" s="115">
        <f>'plateau 1 '!H17</f>
        <v>2001</v>
      </c>
      <c r="I18" s="115" t="str">
        <f>'plateau 1 '!I17</f>
        <v>Franconville</v>
      </c>
      <c r="J18" s="115" t="str">
        <f>'plateau 1 '!J17</f>
        <v>FR</v>
      </c>
      <c r="K18" s="115">
        <f>'plateau 1 '!K17</f>
        <v>95.45</v>
      </c>
      <c r="L18" s="115">
        <f>'plateau 1 '!L17</f>
        <v>-73</v>
      </c>
      <c r="M18" s="115">
        <f>'plateau 1 '!M17</f>
        <v>73</v>
      </c>
      <c r="N18" s="115">
        <f>'plateau 1 '!N17</f>
        <v>78</v>
      </c>
      <c r="O18" s="115">
        <f>'plateau 1 '!O17</f>
        <v>78</v>
      </c>
      <c r="P18" s="115">
        <f>'plateau 1 '!P17</f>
        <v>92</v>
      </c>
      <c r="Q18" s="115">
        <f>'plateau 1 '!Q17</f>
        <v>-100</v>
      </c>
      <c r="R18" s="115">
        <f>'plateau 1 '!R17</f>
        <v>102</v>
      </c>
      <c r="S18" s="115">
        <f>'plateau 1 '!S17</f>
        <v>102</v>
      </c>
      <c r="T18" s="115">
        <f>'plateau 1 '!T17</f>
        <v>180</v>
      </c>
      <c r="U18" s="115" t="str">
        <f>'plateau 1 '!U17</f>
        <v>FED + 18</v>
      </c>
      <c r="V18" s="115" t="str">
        <f>'plateau 1 '!V17</f>
        <v>SE F&gt;87</v>
      </c>
      <c r="W18" s="115">
        <f>'plateau 1 '!W17</f>
        <v>194.54231004502435</v>
      </c>
      <c r="X18" s="82"/>
      <c r="Y18" s="80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2:88" s="4" customFormat="1" ht="30" customHeight="1" thickBot="1" x14ac:dyDescent="0.3">
      <c r="B19" s="115">
        <f>+'plateau 3'!B7</f>
        <v>12</v>
      </c>
      <c r="C19" s="115">
        <f>+'plateau 3'!C7</f>
        <v>0</v>
      </c>
      <c r="D19" s="115">
        <f>+'plateau 3'!D7</f>
        <v>0</v>
      </c>
      <c r="E19" s="115" t="str">
        <f>+'plateau 3'!E7</f>
        <v>F</v>
      </c>
      <c r="F19" s="115" t="str">
        <f>+'plateau 3'!F7</f>
        <v>ESTEOULLE</v>
      </c>
      <c r="G19" s="115" t="str">
        <f>+'plateau 3'!G7</f>
        <v>Chloé</v>
      </c>
      <c r="H19" s="115">
        <f>+'plateau 3'!H7</f>
        <v>2001</v>
      </c>
      <c r="I19" s="115" t="str">
        <f>+'plateau 3'!I7</f>
        <v>Comines</v>
      </c>
      <c r="J19" s="115" t="str">
        <f>+'plateau 3'!J7</f>
        <v>FR</v>
      </c>
      <c r="K19" s="115">
        <f>+'plateau 3'!K7</f>
        <v>52.58</v>
      </c>
      <c r="L19" s="115">
        <f>+'plateau 3'!L7</f>
        <v>67</v>
      </c>
      <c r="M19" s="115">
        <f>+'plateau 3'!M7</f>
        <v>70</v>
      </c>
      <c r="N19" s="115">
        <f>+'plateau 3'!N7</f>
        <v>-73</v>
      </c>
      <c r="O19" s="115">
        <f>+'plateau 3'!O7</f>
        <v>70</v>
      </c>
      <c r="P19" s="115">
        <f>+'plateau 3'!P7</f>
        <v>82</v>
      </c>
      <c r="Q19" s="115">
        <f>+'plateau 3'!Q7</f>
        <v>85</v>
      </c>
      <c r="R19" s="115">
        <f>+'plateau 3'!R7</f>
        <v>-88</v>
      </c>
      <c r="S19" s="115">
        <f>+'plateau 3'!S7</f>
        <v>85</v>
      </c>
      <c r="T19" s="115">
        <f>+'plateau 3'!T7</f>
        <v>155</v>
      </c>
      <c r="U19" s="115" t="e">
        <f>+'plateau 3'!U7</f>
        <v>#N/A</v>
      </c>
      <c r="V19" s="115" t="str">
        <f>+'plateau 3'!V7</f>
        <v>SE F53</v>
      </c>
      <c r="W19" s="115">
        <f>+'plateau 3'!W7</f>
        <v>229.74438866807503</v>
      </c>
      <c r="X19" s="82"/>
      <c r="Y19" s="80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</row>
    <row r="20" spans="2:88" s="4" customFormat="1" ht="30" customHeight="1" thickBot="1" x14ac:dyDescent="0.3">
      <c r="B20" s="115">
        <f>+'plateau 3'!B8</f>
        <v>13</v>
      </c>
      <c r="C20" s="115">
        <f>+'plateau 3'!C8</f>
        <v>0</v>
      </c>
      <c r="D20" s="115">
        <f>+'plateau 3'!D8</f>
        <v>0</v>
      </c>
      <c r="E20" s="115" t="str">
        <f>+'plateau 3'!E8</f>
        <v>F</v>
      </c>
      <c r="F20" s="115" t="str">
        <f>+'plateau 3'!F8</f>
        <v>ROUY</v>
      </c>
      <c r="G20" s="115" t="str">
        <f>+'plateau 3'!G8</f>
        <v>Ilona</v>
      </c>
      <c r="H20" s="115">
        <f>+'plateau 3'!H8</f>
        <v>2009</v>
      </c>
      <c r="I20" s="115" t="str">
        <f>+'plateau 3'!I8</f>
        <v>Cle Amiens</v>
      </c>
      <c r="J20" s="115" t="str">
        <f>+'plateau 3'!J8</f>
        <v>FR</v>
      </c>
      <c r="K20" s="115">
        <f>+'plateau 3'!K8</f>
        <v>72.650000000000006</v>
      </c>
      <c r="L20" s="115">
        <f>+'plateau 3'!L8</f>
        <v>72</v>
      </c>
      <c r="M20" s="115">
        <f>+'plateau 3'!M8</f>
        <v>-74</v>
      </c>
      <c r="N20" s="115">
        <f>+'plateau 3'!N8</f>
        <v>-74</v>
      </c>
      <c r="O20" s="115">
        <f>+'plateau 3'!O8</f>
        <v>72</v>
      </c>
      <c r="P20" s="115">
        <f>+'plateau 3'!P8</f>
        <v>-90</v>
      </c>
      <c r="Q20" s="115">
        <f>+'plateau 3'!Q8</f>
        <v>-90</v>
      </c>
      <c r="R20" s="115">
        <f>+'plateau 3'!R8</f>
        <v>-90</v>
      </c>
      <c r="S20" s="115">
        <f>+'plateau 3'!S8</f>
        <v>0</v>
      </c>
      <c r="T20" s="115">
        <f>+'plateau 3'!T8</f>
        <v>72</v>
      </c>
      <c r="U20" s="115" t="str">
        <f>+'plateau 3'!U8</f>
        <v>DPT + 7</v>
      </c>
      <c r="V20" s="115" t="str">
        <f>+'plateau 3'!V8</f>
        <v>U15 F76</v>
      </c>
      <c r="W20" s="115">
        <f>+'plateau 3'!W8</f>
        <v>87.250248990820992</v>
      </c>
      <c r="X20" s="82"/>
      <c r="Y20" s="80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2:88" s="4" customFormat="1" ht="30" customHeight="1" thickBot="1" x14ac:dyDescent="0.3">
      <c r="B21" s="115">
        <f>+'plateau 3'!B9</f>
        <v>14</v>
      </c>
      <c r="C21" s="115">
        <f>+'plateau 3'!C9</f>
        <v>0</v>
      </c>
      <c r="D21" s="115">
        <f>+'plateau 3'!D9</f>
        <v>0</v>
      </c>
      <c r="E21" s="115" t="str">
        <f>+'plateau 3'!E9</f>
        <v>F</v>
      </c>
      <c r="F21" s="115" t="str">
        <f>+'plateau 3'!F9</f>
        <v>COFFEY-O'CONNOR</v>
      </c>
      <c r="G21" s="115" t="str">
        <f>+'plateau 3'!G9</f>
        <v>Molly</v>
      </c>
      <c r="H21" s="115">
        <f>+'plateau 3'!H9</f>
        <v>2005</v>
      </c>
      <c r="I21" s="115" t="str">
        <f>+'plateau 3'!I9</f>
        <v>Irlande</v>
      </c>
      <c r="J21" s="115" t="str">
        <f>+'plateau 3'!J9</f>
        <v>IRL</v>
      </c>
      <c r="K21" s="115">
        <f>+'plateau 3'!K9</f>
        <v>65.05</v>
      </c>
      <c r="L21" s="115">
        <f>+'plateau 3'!L9</f>
        <v>72</v>
      </c>
      <c r="M21" s="115">
        <f>+'plateau 3'!M9</f>
        <v>75</v>
      </c>
      <c r="N21" s="115">
        <f>+'plateau 3'!N9</f>
        <v>77</v>
      </c>
      <c r="O21" s="115">
        <f>+'plateau 3'!O9</f>
        <v>77</v>
      </c>
      <c r="P21" s="115">
        <f>+'plateau 3'!P9</f>
        <v>90</v>
      </c>
      <c r="Q21" s="115">
        <f>+'plateau 3'!Q9</f>
        <v>95</v>
      </c>
      <c r="R21" s="115">
        <f>+'plateau 3'!R9</f>
        <v>98</v>
      </c>
      <c r="S21" s="115">
        <f>+'plateau 3'!S9</f>
        <v>98</v>
      </c>
      <c r="T21" s="115">
        <f>+'plateau 3'!T9</f>
        <v>175</v>
      </c>
      <c r="U21" s="115" t="str">
        <f>+'plateau 3'!U9</f>
        <v>INTB + 8</v>
      </c>
      <c r="V21" s="115" t="str">
        <f>+'plateau 3'!V9</f>
        <v>U20 F71</v>
      </c>
      <c r="W21" s="115">
        <f>+'plateau 3'!W9</f>
        <v>225.36082714558728</v>
      </c>
      <c r="X21" s="82"/>
      <c r="Y21" s="80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</row>
    <row r="22" spans="2:88" s="4" customFormat="1" ht="30" customHeight="1" thickBot="1" x14ac:dyDescent="0.3">
      <c r="B22" s="115">
        <f>+'plateau 3'!B10</f>
        <v>15</v>
      </c>
      <c r="C22" s="115">
        <f>+'plateau 3'!C10</f>
        <v>0</v>
      </c>
      <c r="D22" s="115">
        <f>+'plateau 3'!D10</f>
        <v>0</v>
      </c>
      <c r="E22" s="115" t="str">
        <f>+'plateau 3'!E10</f>
        <v>F</v>
      </c>
      <c r="F22" s="115" t="str">
        <f>+'plateau 3'!F10</f>
        <v>BOCQUET</v>
      </c>
      <c r="G22" s="115" t="str">
        <f>+'plateau 3'!G10</f>
        <v>Ambre</v>
      </c>
      <c r="H22" s="115">
        <f>+'plateau 3'!H10</f>
        <v>1994</v>
      </c>
      <c r="I22" s="115" t="str">
        <f>+'plateau 3'!I10</f>
        <v>Nord</v>
      </c>
      <c r="J22" s="115" t="str">
        <f>+'plateau 3'!J10</f>
        <v>FR</v>
      </c>
      <c r="K22" s="115">
        <f>+'plateau 3'!K10</f>
        <v>58.05</v>
      </c>
      <c r="L22" s="115">
        <f>+'plateau 3'!L10</f>
        <v>68</v>
      </c>
      <c r="M22" s="115">
        <f>+'plateau 3'!M10</f>
        <v>71</v>
      </c>
      <c r="N22" s="115">
        <f>+'plateau 3'!N10</f>
        <v>73</v>
      </c>
      <c r="O22" s="115">
        <f>+'plateau 3'!O10</f>
        <v>73</v>
      </c>
      <c r="P22" s="115">
        <f>+'plateau 3'!P10</f>
        <v>-90</v>
      </c>
      <c r="Q22" s="115">
        <f>+'plateau 3'!Q10</f>
        <v>90</v>
      </c>
      <c r="R22" s="115">
        <f>+'plateau 3'!R10</f>
        <v>-95</v>
      </c>
      <c r="S22" s="115">
        <f>+'plateau 3'!S10</f>
        <v>90</v>
      </c>
      <c r="T22" s="115">
        <f>+'plateau 3'!T10</f>
        <v>163</v>
      </c>
      <c r="U22" s="115" t="str">
        <f>+'plateau 3'!U10</f>
        <v>NAT + 8</v>
      </c>
      <c r="V22" s="115" t="str">
        <f>+'plateau 3'!V10</f>
        <v>SE F59</v>
      </c>
      <c r="W22" s="115">
        <f>+'plateau 3'!W10</f>
        <v>225.43807046289649</v>
      </c>
      <c r="X22" s="82"/>
      <c r="Y22" s="80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2:88" s="4" customFormat="1" ht="30" customHeight="1" thickBot="1" x14ac:dyDescent="0.3">
      <c r="B23" s="115">
        <f>+'plateau 3'!B11</f>
        <v>16</v>
      </c>
      <c r="C23" s="115">
        <f>+'plateau 3'!C11</f>
        <v>0</v>
      </c>
      <c r="D23" s="115">
        <f>+'plateau 3'!D11</f>
        <v>0</v>
      </c>
      <c r="E23" s="115" t="str">
        <f>+'plateau 3'!E11</f>
        <v>f</v>
      </c>
      <c r="F23" s="115" t="str">
        <f>+'plateau 3'!F11</f>
        <v>ROUSSELLE</v>
      </c>
      <c r="G23" s="115" t="str">
        <f>+'plateau 3'!G11</f>
        <v>Julie</v>
      </c>
      <c r="H23" s="115">
        <f>+'plateau 3'!H11</f>
        <v>2006</v>
      </c>
      <c r="I23" s="115" t="str">
        <f>+'plateau 3'!I11</f>
        <v>Sélection France</v>
      </c>
      <c r="J23" s="115" t="str">
        <f>+'plateau 3'!J11</f>
        <v>FR</v>
      </c>
      <c r="K23" s="115">
        <f>+'plateau 3'!K11</f>
        <v>56.6</v>
      </c>
      <c r="L23" s="115">
        <f>+'plateau 3'!L11</f>
        <v>74</v>
      </c>
      <c r="M23" s="115">
        <f>+'plateau 3'!M11</f>
        <v>-77</v>
      </c>
      <c r="N23" s="115">
        <f>+'plateau 3'!N11</f>
        <v>-77</v>
      </c>
      <c r="O23" s="115">
        <f>+'plateau 3'!O11</f>
        <v>74</v>
      </c>
      <c r="P23" s="115">
        <f>+'plateau 3'!P11</f>
        <v>91</v>
      </c>
      <c r="Q23" s="115">
        <f>+'plateau 3'!Q11</f>
        <v>-95</v>
      </c>
      <c r="R23" s="115">
        <f>+'plateau 3'!R11</f>
        <v>-95</v>
      </c>
      <c r="S23" s="115">
        <f>+'plateau 3'!S11</f>
        <v>91</v>
      </c>
      <c r="T23" s="115">
        <f>+'plateau 3'!T11</f>
        <v>165</v>
      </c>
      <c r="U23" s="115" t="str">
        <f>+'plateau 3'!U11</f>
        <v>INTA + 15</v>
      </c>
      <c r="V23" s="115" t="str">
        <f>+'plateau 3'!V11</f>
        <v>U17 F59</v>
      </c>
      <c r="W23" s="115">
        <f>+'plateau 3'!W11</f>
        <v>232.13121701863881</v>
      </c>
      <c r="X23" s="82"/>
      <c r="Y23" s="80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</row>
    <row r="24" spans="2:88" s="4" customFormat="1" ht="30" customHeight="1" thickBot="1" x14ac:dyDescent="0.3">
      <c r="B24" s="115">
        <f>+'plateau 3'!B12</f>
        <v>17</v>
      </c>
      <c r="C24" s="115">
        <f>+'plateau 3'!C12</f>
        <v>0</v>
      </c>
      <c r="D24" s="115">
        <f>+'plateau 3'!D12</f>
        <v>0</v>
      </c>
      <c r="E24" s="115" t="str">
        <f>+'plateau 3'!E12</f>
        <v>f</v>
      </c>
      <c r="F24" s="115" t="str">
        <f>+'plateau 3'!F12</f>
        <v>MEENAN</v>
      </c>
      <c r="G24" s="115" t="str">
        <f>+'plateau 3'!G12</f>
        <v>Abby</v>
      </c>
      <c r="H24" s="115">
        <f>+'plateau 3'!H12</f>
        <v>2002</v>
      </c>
      <c r="I24" s="115" t="str">
        <f>+'plateau 3'!I12</f>
        <v>Irlande</v>
      </c>
      <c r="J24" s="115" t="str">
        <f>+'plateau 3'!J12</f>
        <v>IRL</v>
      </c>
      <c r="K24" s="115">
        <f>+'plateau 3'!K12</f>
        <v>76.23</v>
      </c>
      <c r="L24" s="115">
        <f>+'plateau 3'!L12</f>
        <v>-76</v>
      </c>
      <c r="M24" s="115">
        <f>+'plateau 3'!M12</f>
        <v>-76</v>
      </c>
      <c r="N24" s="115">
        <f>+'plateau 3'!N12</f>
        <v>76</v>
      </c>
      <c r="O24" s="115">
        <f>+'plateau 3'!O12</f>
        <v>76</v>
      </c>
      <c r="P24" s="115">
        <f>+'plateau 3'!P12</f>
        <v>100</v>
      </c>
      <c r="Q24" s="115">
        <f>+'plateau 3'!Q12</f>
        <v>104</v>
      </c>
      <c r="R24" s="115">
        <f>+'plateau 3'!R12</f>
        <v>-108</v>
      </c>
      <c r="S24" s="115">
        <f>+'plateau 3'!S12</f>
        <v>104</v>
      </c>
      <c r="T24" s="115">
        <f>+'plateau 3'!T12</f>
        <v>180</v>
      </c>
      <c r="U24" s="115" t="str">
        <f>+'plateau 3'!U12</f>
        <v>NAT + 0</v>
      </c>
      <c r="V24" s="115" t="str">
        <f>+'plateau 3'!V12</f>
        <v>SE F81</v>
      </c>
      <c r="W24" s="115">
        <f>+'plateau 3'!W12</f>
        <v>212.98250877271587</v>
      </c>
      <c r="X24" s="82"/>
      <c r="Y24" s="80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2:88" s="4" customFormat="1" ht="30" customHeight="1" thickBot="1" x14ac:dyDescent="0.3">
      <c r="B25" s="115">
        <f>+'plateau 3'!B13</f>
        <v>18</v>
      </c>
      <c r="C25" s="115">
        <f>+'plateau 3'!C13</f>
        <v>0</v>
      </c>
      <c r="D25" s="115">
        <f>+'plateau 3'!D13</f>
        <v>0</v>
      </c>
      <c r="E25" s="115" t="str">
        <f>+'plateau 3'!E13</f>
        <v>F</v>
      </c>
      <c r="F25" s="115" t="str">
        <f>+'plateau 3'!F13</f>
        <v>CORGIAT BONDON</v>
      </c>
      <c r="G25" s="115" t="str">
        <f>+'plateau 3'!G13</f>
        <v>Maelys</v>
      </c>
      <c r="H25" s="115">
        <f>+'plateau 3'!H13</f>
        <v>2008</v>
      </c>
      <c r="I25" s="115" t="str">
        <f>+'plateau 3'!I13</f>
        <v>Sélection France</v>
      </c>
      <c r="J25" s="115" t="str">
        <f>+'plateau 3'!J13</f>
        <v>FR</v>
      </c>
      <c r="K25" s="115">
        <f>+'plateau 3'!K13</f>
        <v>56.93</v>
      </c>
      <c r="L25" s="115">
        <f>+'plateau 3'!L13</f>
        <v>65</v>
      </c>
      <c r="M25" s="115">
        <f>+'plateau 3'!M13</f>
        <v>67</v>
      </c>
      <c r="N25" s="115">
        <f>+'plateau 3'!N13</f>
        <v>69</v>
      </c>
      <c r="O25" s="115">
        <f>+'plateau 3'!O13</f>
        <v>69</v>
      </c>
      <c r="P25" s="115">
        <f>+'plateau 3'!P13</f>
        <v>81</v>
      </c>
      <c r="Q25" s="115">
        <f>+'plateau 3'!Q13</f>
        <v>84</v>
      </c>
      <c r="R25" s="115">
        <f>+'plateau 3'!R13</f>
        <v>88</v>
      </c>
      <c r="S25" s="115">
        <f>+'plateau 3'!S13</f>
        <v>88</v>
      </c>
      <c r="T25" s="115">
        <f>+'plateau 3'!T13</f>
        <v>157</v>
      </c>
      <c r="U25" s="115" t="str">
        <f>+'plateau 3'!U13</f>
        <v>INTA + 17</v>
      </c>
      <c r="V25" s="115" t="str">
        <f>+'plateau 3'!V13</f>
        <v>U15 F59</v>
      </c>
      <c r="W25" s="115">
        <f>+'plateau 3'!W13</f>
        <v>220.00345004132606</v>
      </c>
      <c r="X25" s="82"/>
      <c r="Y25" s="80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</row>
    <row r="26" spans="2:88" s="4" customFormat="1" ht="30" customHeight="1" thickBot="1" x14ac:dyDescent="0.3">
      <c r="B26" s="115">
        <f>+'plateau 3'!B14</f>
        <v>19</v>
      </c>
      <c r="C26" s="115">
        <f>+'plateau 3'!C14</f>
        <v>0</v>
      </c>
      <c r="D26" s="115">
        <f>+'plateau 3'!D14</f>
        <v>0</v>
      </c>
      <c r="E26" s="115" t="str">
        <f>+'plateau 3'!E14</f>
        <v>F</v>
      </c>
      <c r="F26" s="115" t="str">
        <f>+'plateau 3'!F14</f>
        <v>VANDENABEELE</v>
      </c>
      <c r="G26" s="115" t="str">
        <f>+'plateau 3'!G14</f>
        <v>Annelien</v>
      </c>
      <c r="H26" s="115">
        <f>+'plateau 3'!H14</f>
        <v>2004</v>
      </c>
      <c r="I26" s="115" t="str">
        <f>+'plateau 3'!I14</f>
        <v>Belgique 1</v>
      </c>
      <c r="J26" s="115" t="str">
        <f>+'plateau 3'!J14</f>
        <v>BEL</v>
      </c>
      <c r="K26" s="115">
        <f>+'plateau 3'!K14</f>
        <v>60.69</v>
      </c>
      <c r="L26" s="115">
        <f>+'plateau 3'!L14</f>
        <v>81</v>
      </c>
      <c r="M26" s="115">
        <f>+'plateau 3'!M14</f>
        <v>84</v>
      </c>
      <c r="N26" s="115">
        <f>+'plateau 3'!N14</f>
        <v>-86</v>
      </c>
      <c r="O26" s="115">
        <f>+'plateau 3'!O14</f>
        <v>84</v>
      </c>
      <c r="P26" s="115">
        <f>+'plateau 3'!P14</f>
        <v>100</v>
      </c>
      <c r="Q26" s="115">
        <f>+'plateau 3'!Q14</f>
        <v>104</v>
      </c>
      <c r="R26" s="115">
        <f>+'plateau 3'!R14</f>
        <v>-109</v>
      </c>
      <c r="S26" s="115">
        <f>+'plateau 3'!S14</f>
        <v>104</v>
      </c>
      <c r="T26" s="115">
        <f>+'plateau 3'!T14</f>
        <v>188</v>
      </c>
      <c r="U26" s="115" t="str">
        <f>+'plateau 3'!U14</f>
        <v>INTA + 3</v>
      </c>
      <c r="V26" s="115" t="str">
        <f>+'plateau 3'!V14</f>
        <v>U20 F64</v>
      </c>
      <c r="W26" s="115">
        <f>+'plateau 3'!W14</f>
        <v>252.59813268144222</v>
      </c>
      <c r="X26" s="82"/>
      <c r="Y26" s="80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2:88" s="4" customFormat="1" ht="30" customHeight="1" thickBot="1" x14ac:dyDescent="0.3">
      <c r="B27" s="115">
        <f>+'plateau 3'!B15</f>
        <v>20</v>
      </c>
      <c r="C27" s="115">
        <f>+'plateau 3'!C15</f>
        <v>0</v>
      </c>
      <c r="D27" s="115">
        <f>+'plateau 3'!D15</f>
        <v>0</v>
      </c>
      <c r="E27" s="115" t="str">
        <f>+'plateau 3'!E15</f>
        <v>F</v>
      </c>
      <c r="F27" s="115" t="str">
        <f>+'plateau 3'!F15</f>
        <v>MYSHOVETS</v>
      </c>
      <c r="G27" s="115" t="str">
        <f>+'plateau 3'!G15</f>
        <v>Sofia</v>
      </c>
      <c r="H27" s="115">
        <f>+'plateau 3'!H15</f>
        <v>2010</v>
      </c>
      <c r="I27" s="115" t="str">
        <f>+'plateau 3'!I15</f>
        <v>Ukraine</v>
      </c>
      <c r="J27" s="115" t="str">
        <f>+'plateau 3'!J15</f>
        <v>UKR</v>
      </c>
      <c r="K27" s="115">
        <f>+'plateau 3'!K15</f>
        <v>103.56</v>
      </c>
      <c r="L27" s="115">
        <f>+'plateau 3'!L15</f>
        <v>-73</v>
      </c>
      <c r="M27" s="115">
        <f>+'plateau 3'!M15</f>
        <v>73</v>
      </c>
      <c r="N27" s="115">
        <f>+'plateau 3'!N15</f>
        <v>77</v>
      </c>
      <c r="O27" s="115">
        <f>+'plateau 3'!O15</f>
        <v>77</v>
      </c>
      <c r="P27" s="115">
        <f>+'plateau 3'!P15</f>
        <v>95</v>
      </c>
      <c r="Q27" s="115">
        <f>+'plateau 3'!Q15</f>
        <v>100</v>
      </c>
      <c r="R27" s="115">
        <f>+'plateau 3'!R15</f>
        <v>-105</v>
      </c>
      <c r="S27" s="115">
        <f>+'plateau 3'!S15</f>
        <v>100</v>
      </c>
      <c r="T27" s="115">
        <f>+'plateau 3'!T15</f>
        <v>177</v>
      </c>
      <c r="U27" s="115" t="e">
        <f>+'plateau 3'!U15</f>
        <v>#N/A</v>
      </c>
      <c r="V27" s="115" t="str">
        <f>+'plateau 3'!V15</f>
        <v>NON</v>
      </c>
      <c r="W27" s="115">
        <f>+'plateau 3'!W15</f>
        <v>186.70648957173458</v>
      </c>
      <c r="X27" s="82"/>
      <c r="Y27" s="80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</row>
    <row r="28" spans="2:88" s="4" customFormat="1" ht="30" customHeight="1" thickBot="1" x14ac:dyDescent="0.3">
      <c r="B28" s="115">
        <f>+'plateau 3'!B16</f>
        <v>21</v>
      </c>
      <c r="C28" s="115">
        <f>+'plateau 3'!C16</f>
        <v>0</v>
      </c>
      <c r="D28" s="115">
        <f>+'plateau 3'!D16</f>
        <v>0</v>
      </c>
      <c r="E28" s="115" t="str">
        <f>+'plateau 3'!E16</f>
        <v>F</v>
      </c>
      <c r="F28" s="115" t="str">
        <f>+'plateau 3'!F16</f>
        <v>VAN BEERS</v>
      </c>
      <c r="G28" s="115" t="str">
        <f>+'plateau 3'!G16</f>
        <v>Roos</v>
      </c>
      <c r="H28" s="115">
        <f>+'plateau 3'!H16</f>
        <v>2007</v>
      </c>
      <c r="I28" s="115" t="str">
        <f>+'plateau 3'!I16</f>
        <v xml:space="preserve">Belgique 2 </v>
      </c>
      <c r="J28" s="115" t="str">
        <f>+'plateau 3'!J16</f>
        <v>BEL</v>
      </c>
      <c r="K28" s="115">
        <f>+'plateau 3'!K16</f>
        <v>73.75</v>
      </c>
      <c r="L28" s="115">
        <f>+'plateau 3'!L16</f>
        <v>89</v>
      </c>
      <c r="M28" s="115">
        <f>+'plateau 3'!M16</f>
        <v>-92</v>
      </c>
      <c r="N28" s="115">
        <f>+'plateau 3'!N16</f>
        <v>92</v>
      </c>
      <c r="O28" s="115">
        <f>+'plateau 3'!O16</f>
        <v>92</v>
      </c>
      <c r="P28" s="115">
        <f>+'plateau 3'!P16</f>
        <v>100</v>
      </c>
      <c r="Q28" s="115">
        <f>+'plateau 3'!Q16</f>
        <v>-104</v>
      </c>
      <c r="R28" s="115">
        <f>+'plateau 3'!R16</f>
        <v>-104</v>
      </c>
      <c r="S28" s="115">
        <f>+'plateau 3'!S16</f>
        <v>100</v>
      </c>
      <c r="T28" s="115">
        <f>+'plateau 3'!T16</f>
        <v>192</v>
      </c>
      <c r="U28" s="115" t="str">
        <f>+'plateau 3'!U16</f>
        <v>INTA + 22</v>
      </c>
      <c r="V28" s="115" t="str">
        <f>+'plateau 3'!V16</f>
        <v>U17 F76</v>
      </c>
      <c r="W28" s="115">
        <f>+'plateau 3'!W16</f>
        <v>230.90012676677691</v>
      </c>
      <c r="X28" s="82"/>
      <c r="Y28" s="80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2:88" s="4" customFormat="1" ht="30" customHeight="1" thickBot="1" x14ac:dyDescent="0.3">
      <c r="B29" s="115">
        <f>+'plateau 3'!B17</f>
        <v>22</v>
      </c>
      <c r="C29" s="115">
        <f>+'plateau 3'!C17</f>
        <v>0</v>
      </c>
      <c r="D29" s="115">
        <f>+'plateau 3'!D17</f>
        <v>0</v>
      </c>
      <c r="E29" s="115" t="str">
        <f>+'plateau 3'!E17</f>
        <v>F</v>
      </c>
      <c r="F29" s="115" t="str">
        <f>+'plateau 3'!F17</f>
        <v>TIMMERSMANS</v>
      </c>
      <c r="G29" s="115" t="str">
        <f>+'plateau 3'!G17</f>
        <v>Myrthe</v>
      </c>
      <c r="H29" s="115">
        <f>+'plateau 3'!H17</f>
        <v>1997</v>
      </c>
      <c r="I29" s="115" t="str">
        <f>+'plateau 3'!I17</f>
        <v>Waalsport Hollande</v>
      </c>
      <c r="J29" s="115" t="str">
        <f>+'plateau 3'!J17</f>
        <v>HOL</v>
      </c>
      <c r="K29" s="115">
        <f>+'plateau 3'!K17</f>
        <v>67.680000000000007</v>
      </c>
      <c r="L29" s="115">
        <f>+'plateau 3'!L17</f>
        <v>82</v>
      </c>
      <c r="M29" s="115">
        <f>+'plateau 3'!M17</f>
        <v>85</v>
      </c>
      <c r="N29" s="115">
        <f>+'plateau 3'!N17</f>
        <v>88</v>
      </c>
      <c r="O29" s="115">
        <f>+'plateau 3'!O17</f>
        <v>88</v>
      </c>
      <c r="P29" s="115">
        <f>+'plateau 3'!P17</f>
        <v>100</v>
      </c>
      <c r="Q29" s="115">
        <f>+'plateau 3'!Q17</f>
        <v>105</v>
      </c>
      <c r="R29" s="115">
        <f>+'plateau 3'!R17</f>
        <v>110</v>
      </c>
      <c r="S29" s="115">
        <f>+'plateau 3'!S17</f>
        <v>110</v>
      </c>
      <c r="T29" s="115">
        <f>+'plateau 3'!T17</f>
        <v>198</v>
      </c>
      <c r="U29" s="115" t="str">
        <f>+'plateau 3'!U17</f>
        <v>INTB + 6</v>
      </c>
      <c r="V29" s="115" t="str">
        <f>+'plateau 3'!V17</f>
        <v>SE F71</v>
      </c>
      <c r="W29" s="115">
        <f>+'plateau 3'!W17</f>
        <v>249.23955030194011</v>
      </c>
      <c r="X29" s="82"/>
      <c r="Y29" s="80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</row>
    <row r="30" spans="2:88" s="4" customFormat="1" ht="30" customHeight="1" thickBot="1" x14ac:dyDescent="0.3">
      <c r="B30" s="115">
        <f>+'plateau 3'!B18</f>
        <v>23</v>
      </c>
      <c r="C30" s="115">
        <f>+'plateau 3'!C18</f>
        <v>0</v>
      </c>
      <c r="D30" s="115">
        <f>+'plateau 3'!D18</f>
        <v>0</v>
      </c>
      <c r="E30" s="115" t="str">
        <f>+'plateau 3'!E18</f>
        <v>F</v>
      </c>
      <c r="F30" s="115" t="str">
        <f>+'plateau 3'!F18</f>
        <v>DE KONING</v>
      </c>
      <c r="G30" s="115" t="str">
        <f>+'plateau 3'!G18</f>
        <v>Joyce</v>
      </c>
      <c r="H30" s="115">
        <f>+'plateau 3'!H18</f>
        <v>1997</v>
      </c>
      <c r="I30" s="115" t="str">
        <f>+'plateau 3'!I18</f>
        <v>Waalsport Hollande</v>
      </c>
      <c r="J30" s="115" t="str">
        <f>+'plateau 3'!J18</f>
        <v>HOL</v>
      </c>
      <c r="K30" s="115">
        <f>+'plateau 3'!K18</f>
        <v>85.75</v>
      </c>
      <c r="L30" s="115">
        <f>+'plateau 3'!L18</f>
        <v>-95</v>
      </c>
      <c r="M30" s="115">
        <f>+'plateau 3'!M18</f>
        <v>95</v>
      </c>
      <c r="N30" s="115">
        <f>+'plateau 3'!N18</f>
        <v>99</v>
      </c>
      <c r="O30" s="115">
        <f>+'plateau 3'!O18</f>
        <v>99</v>
      </c>
      <c r="P30" s="115">
        <f>+'plateau 3'!P18</f>
        <v>107</v>
      </c>
      <c r="Q30" s="115">
        <f>+'plateau 3'!Q18</f>
        <v>-110</v>
      </c>
      <c r="R30" s="115">
        <f>+'plateau 3'!R18</f>
        <v>-110</v>
      </c>
      <c r="S30" s="115">
        <f>+'plateau 3'!S18</f>
        <v>107</v>
      </c>
      <c r="T30" s="115">
        <f>+'plateau 3'!T18</f>
        <v>206</v>
      </c>
      <c r="U30" s="115" t="str">
        <f>+'plateau 3'!U18</f>
        <v>INTB + 4</v>
      </c>
      <c r="V30" s="115" t="str">
        <f>+'plateau 3'!V18</f>
        <v>SE F87</v>
      </c>
      <c r="W30" s="115">
        <f>+'plateau 3'!W18</f>
        <v>231.46328136214208</v>
      </c>
      <c r="X30" s="82"/>
      <c r="Y30" s="80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2:88" s="4" customFormat="1" ht="30" customHeight="1" x14ac:dyDescent="0.25">
      <c r="B31" s="115">
        <f>+'plateau 3'!B19</f>
        <v>24</v>
      </c>
      <c r="C31" s="115">
        <f>+'plateau 3'!C19</f>
        <v>0</v>
      </c>
      <c r="D31" s="115">
        <f>+'plateau 3'!D19</f>
        <v>0</v>
      </c>
      <c r="E31" s="115" t="str">
        <f>+'plateau 3'!E19</f>
        <v>F</v>
      </c>
      <c r="F31" s="115" t="str">
        <f>+'plateau 3'!F19</f>
        <v>LAGROU</v>
      </c>
      <c r="G31" s="115" t="str">
        <f>+'plateau 3'!G19</f>
        <v>Ilke</v>
      </c>
      <c r="H31" s="115">
        <f>+'plateau 3'!H19</f>
        <v>1998</v>
      </c>
      <c r="I31" s="115" t="str">
        <f>+'plateau 3'!I19</f>
        <v>Belgique 1</v>
      </c>
      <c r="J31" s="115" t="str">
        <f>+'plateau 3'!J19</f>
        <v>BEL</v>
      </c>
      <c r="K31" s="115">
        <f>+'plateau 3'!K19</f>
        <v>93.59</v>
      </c>
      <c r="L31" s="115">
        <f>+'plateau 3'!L19</f>
        <v>-106</v>
      </c>
      <c r="M31" s="115">
        <f>+'plateau 3'!M19</f>
        <v>106</v>
      </c>
      <c r="N31" s="115">
        <f>+'plateau 3'!N19</f>
        <v>111</v>
      </c>
      <c r="O31" s="115">
        <f>+'plateau 3'!O19</f>
        <v>111</v>
      </c>
      <c r="P31" s="115">
        <f>+'plateau 3'!P19</f>
        <v>124</v>
      </c>
      <c r="Q31" s="115">
        <f>+'plateau 3'!Q19</f>
        <v>130</v>
      </c>
      <c r="R31" s="115">
        <f>+'plateau 3'!R19</f>
        <v>-136</v>
      </c>
      <c r="S31" s="115">
        <f>+'plateau 3'!S19</f>
        <v>130</v>
      </c>
      <c r="T31" s="115">
        <f>+'plateau 3'!T19</f>
        <v>241</v>
      </c>
      <c r="U31" s="115" t="str">
        <f>+'plateau 3'!U19</f>
        <v>INTA + 13</v>
      </c>
      <c r="V31" s="115" t="str">
        <f>+'plateau 3'!V19</f>
        <v>SE F&gt;87</v>
      </c>
      <c r="W31" s="115">
        <f>+'plateau 3'!W19</f>
        <v>262.1811704940697</v>
      </c>
      <c r="X31" s="82"/>
      <c r="Y31" s="80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</row>
    <row r="32" spans="2:88" s="4" customFormat="1" ht="30" hidden="1" customHeight="1" thickBot="1" x14ac:dyDescent="0.3">
      <c r="B32" s="115">
        <f>+'plateau 3'!B20</f>
        <v>25</v>
      </c>
      <c r="C32" s="115">
        <f>+'plateau 3'!C20</f>
        <v>0</v>
      </c>
      <c r="D32" s="115">
        <f>+'plateau 3'!D20</f>
        <v>0</v>
      </c>
      <c r="E32" s="115" t="str">
        <f>+'plateau 3'!E20</f>
        <v>F</v>
      </c>
      <c r="F32" s="115">
        <f>+'plateau 3'!F20</f>
        <v>0</v>
      </c>
      <c r="G32" s="115">
        <f>+'plateau 3'!G20</f>
        <v>0</v>
      </c>
      <c r="H32" s="115">
        <f>+'plateau 3'!H20</f>
        <v>0</v>
      </c>
      <c r="I32" s="115">
        <f>+'plateau 3'!I20</f>
        <v>0</v>
      </c>
      <c r="J32" s="115">
        <f>+'plateau 3'!J20</f>
        <v>0</v>
      </c>
      <c r="K32" s="115">
        <f>+'plateau 3'!K20</f>
        <v>0</v>
      </c>
      <c r="L32" s="115">
        <f>+'plateau 3'!L20</f>
        <v>0</v>
      </c>
      <c r="M32" s="115">
        <f>+'plateau 3'!M20</f>
        <v>0</v>
      </c>
      <c r="N32" s="115">
        <f>+'plateau 3'!N20</f>
        <v>0</v>
      </c>
      <c r="O32" s="115">
        <f>+'plateau 3'!O20</f>
        <v>0</v>
      </c>
      <c r="P32" s="115">
        <f>+'plateau 3'!P20</f>
        <v>0</v>
      </c>
      <c r="Q32" s="115">
        <f>+'plateau 3'!Q20</f>
        <v>0</v>
      </c>
      <c r="R32" s="115">
        <f>+'plateau 3'!R20</f>
        <v>0</v>
      </c>
      <c r="S32" s="115">
        <f>+'plateau 3'!S20</f>
        <v>0</v>
      </c>
      <c r="T32" s="115">
        <f>+'plateau 3'!T20</f>
        <v>0</v>
      </c>
      <c r="U32" s="115" t="e">
        <f>+'plateau 3'!U20</f>
        <v>#N/A</v>
      </c>
      <c r="V32" s="115" t="e">
        <f>+'plateau 3'!V20</f>
        <v>#N/A</v>
      </c>
      <c r="W32" s="115" t="e">
        <f>+'plateau 3'!W20</f>
        <v>#NUM!</v>
      </c>
      <c r="X32" s="82"/>
      <c r="Y32" s="80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pans="2:88" s="4" customFormat="1" ht="30" hidden="1" customHeight="1" thickBot="1" x14ac:dyDescent="0.3">
      <c r="B33" s="115">
        <f>+'plateau 3'!B21</f>
        <v>26</v>
      </c>
      <c r="C33" s="115">
        <f>+'plateau 3'!C21</f>
        <v>0</v>
      </c>
      <c r="D33" s="115">
        <f>+'plateau 3'!D21</f>
        <v>0</v>
      </c>
      <c r="E33" s="115" t="str">
        <f>+'plateau 3'!E21</f>
        <v>F</v>
      </c>
      <c r="F33" s="115">
        <f>+'plateau 3'!F21</f>
        <v>0</v>
      </c>
      <c r="G33" s="115">
        <f>+'plateau 3'!G21</f>
        <v>0</v>
      </c>
      <c r="H33" s="115">
        <f>+'plateau 3'!H21</f>
        <v>0</v>
      </c>
      <c r="I33" s="115">
        <f>+'plateau 3'!I21</f>
        <v>0</v>
      </c>
      <c r="J33" s="115">
        <f>+'plateau 3'!J21</f>
        <v>0</v>
      </c>
      <c r="K33" s="115">
        <f>+'plateau 3'!K21</f>
        <v>0</v>
      </c>
      <c r="L33" s="115">
        <f>+'plateau 3'!L21</f>
        <v>0</v>
      </c>
      <c r="M33" s="115">
        <f>+'plateau 3'!M21</f>
        <v>0</v>
      </c>
      <c r="N33" s="115">
        <f>+'plateau 3'!N21</f>
        <v>0</v>
      </c>
      <c r="O33" s="115">
        <f>+'plateau 3'!O21</f>
        <v>0</v>
      </c>
      <c r="P33" s="115">
        <f>+'plateau 3'!P21</f>
        <v>0</v>
      </c>
      <c r="Q33" s="115">
        <f>+'plateau 3'!Q21</f>
        <v>0</v>
      </c>
      <c r="R33" s="115">
        <f>+'plateau 3'!R21</f>
        <v>0</v>
      </c>
      <c r="S33" s="115">
        <f>+'plateau 3'!S21</f>
        <v>0</v>
      </c>
      <c r="T33" s="115">
        <f>+'plateau 3'!T21</f>
        <v>0</v>
      </c>
      <c r="U33" s="115" t="e">
        <f>+'plateau 3'!U21</f>
        <v>#N/A</v>
      </c>
      <c r="V33" s="115" t="e">
        <f>+'plateau 3'!V21</f>
        <v>#N/A</v>
      </c>
      <c r="W33" s="115" t="e">
        <f>+'plateau 3'!W21</f>
        <v>#NUM!</v>
      </c>
      <c r="X33" s="82"/>
      <c r="Y33" s="80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</row>
    <row r="34" spans="2:88" s="4" customFormat="1" ht="30" hidden="1" customHeight="1" x14ac:dyDescent="0.25">
      <c r="B34" s="313">
        <v>27</v>
      </c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 t="str">
        <f>+'plateau 3'!T22</f>
        <v/>
      </c>
      <c r="U34" s="115" t="str">
        <f>+'plateau 3'!U22</f>
        <v xml:space="preserve">   </v>
      </c>
      <c r="V34" s="115" t="str">
        <f>+'plateau 3'!V22</f>
        <v xml:space="preserve"> </v>
      </c>
      <c r="W34" s="115" t="str">
        <f>+'plateau 3'!W22</f>
        <v/>
      </c>
      <c r="X34" s="82"/>
      <c r="Y34" s="80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</row>
    <row r="35" spans="2:88" s="4" customFormat="1" ht="30" customHeight="1" x14ac:dyDescent="0.25">
      <c r="B35" s="314">
        <v>28</v>
      </c>
      <c r="C35" s="131"/>
      <c r="D35" s="132"/>
      <c r="E35" s="133"/>
      <c r="F35" s="133"/>
      <c r="G35" s="134"/>
      <c r="H35" s="135"/>
      <c r="I35" s="136"/>
      <c r="J35" s="133"/>
      <c r="K35" s="137"/>
      <c r="L35" s="138"/>
      <c r="M35" s="139"/>
      <c r="N35" s="139"/>
      <c r="O35" s="140"/>
      <c r="P35" s="138"/>
      <c r="Q35" s="139"/>
      <c r="R35" s="139"/>
      <c r="S35" s="140"/>
      <c r="T35" s="141"/>
      <c r="U35" s="142"/>
      <c r="V35" s="143"/>
      <c r="W35" s="144"/>
      <c r="X35" s="82"/>
      <c r="Y35" s="80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</row>
    <row r="36" spans="2:88" s="4" customFormat="1" ht="30" customHeight="1" x14ac:dyDescent="0.25">
      <c r="B36" s="314">
        <v>100</v>
      </c>
      <c r="C36" s="131"/>
      <c r="D36" s="132"/>
      <c r="E36" s="133"/>
      <c r="F36" s="133"/>
      <c r="G36" s="134"/>
      <c r="H36" s="135"/>
      <c r="I36" s="136"/>
      <c r="J36" s="133"/>
      <c r="K36" s="137"/>
      <c r="L36" s="138"/>
      <c r="M36" s="139"/>
      <c r="N36" s="139"/>
      <c r="O36" s="140"/>
      <c r="P36" s="138"/>
      <c r="Q36" s="139"/>
      <c r="R36" s="139"/>
      <c r="S36" s="140"/>
      <c r="T36" s="141"/>
      <c r="U36" s="142"/>
      <c r="V36" s="143"/>
      <c r="W36" s="144"/>
      <c r="X36" s="82"/>
      <c r="Y36" s="80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</row>
    <row r="37" spans="2:88" s="4" customFormat="1" ht="30" customHeight="1" x14ac:dyDescent="0.25">
      <c r="B37" s="122">
        <f>'plateau 2'!B7</f>
        <v>101</v>
      </c>
      <c r="C37" s="122">
        <f>'plateau 2'!C7</f>
        <v>0</v>
      </c>
      <c r="D37" s="122">
        <f>'plateau 2'!D7</f>
        <v>0</v>
      </c>
      <c r="E37" s="122" t="str">
        <f>'plateau 2'!E7</f>
        <v>H</v>
      </c>
      <c r="F37" s="122" t="str">
        <f>'plateau 2'!F7</f>
        <v>BOUKHARTA</v>
      </c>
      <c r="G37" s="122" t="str">
        <f>'plateau 2'!G7</f>
        <v>Zakaria</v>
      </c>
      <c r="H37" s="122">
        <f>'plateau 2'!H7</f>
        <v>2010</v>
      </c>
      <c r="I37" s="122" t="str">
        <f>'plateau 2'!I7</f>
        <v>Cle Amiens</v>
      </c>
      <c r="J37" s="122" t="str">
        <f>'plateau 2'!J7</f>
        <v>FR</v>
      </c>
      <c r="K37" s="122">
        <f>'plateau 2'!K7</f>
        <v>58.55</v>
      </c>
      <c r="L37" s="122">
        <f>'plateau 2'!L7</f>
        <v>-75</v>
      </c>
      <c r="M37" s="122">
        <f>'plateau 2'!M7</f>
        <v>-75</v>
      </c>
      <c r="N37" s="122">
        <f>'plateau 2'!N7</f>
        <v>-75</v>
      </c>
      <c r="O37" s="122">
        <f>'plateau 2'!O7</f>
        <v>0</v>
      </c>
      <c r="P37" s="122">
        <f>'plateau 2'!P7</f>
        <v>-80</v>
      </c>
      <c r="Q37" s="122">
        <f>'plateau 2'!Q7</f>
        <v>80</v>
      </c>
      <c r="R37" s="122">
        <f>'plateau 2'!R7</f>
        <v>0</v>
      </c>
      <c r="S37" s="122">
        <f>'plateau 2'!S7</f>
        <v>80</v>
      </c>
      <c r="T37" s="122">
        <f>'plateau 2'!T7</f>
        <v>80</v>
      </c>
      <c r="U37" s="122" t="e">
        <f>'plateau 2'!U7</f>
        <v>#N/A</v>
      </c>
      <c r="V37" s="122" t="str">
        <f>'plateau 2'!V7</f>
        <v>NON</v>
      </c>
      <c r="W37" s="122">
        <f>'plateau 2'!W7</f>
        <v>125.33524368952713</v>
      </c>
      <c r="X37" s="82"/>
      <c r="Y37" s="80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</row>
    <row r="38" spans="2:88" s="4" customFormat="1" ht="30" customHeight="1" x14ac:dyDescent="0.25">
      <c r="B38" s="122">
        <f>'plateau 2'!B8</f>
        <v>102</v>
      </c>
      <c r="C38" s="122">
        <f>'plateau 2'!C8</f>
        <v>0</v>
      </c>
      <c r="D38" s="122">
        <f>'plateau 2'!D8</f>
        <v>0</v>
      </c>
      <c r="E38" s="122" t="str">
        <f>'plateau 2'!E8</f>
        <v>H</v>
      </c>
      <c r="F38" s="122" t="str">
        <f>'plateau 2'!F8</f>
        <v>DEHANE</v>
      </c>
      <c r="G38" s="122" t="str">
        <f>'plateau 2'!G8</f>
        <v>Raphael</v>
      </c>
      <c r="H38" s="122">
        <f>'plateau 2'!H8</f>
        <v>2007</v>
      </c>
      <c r="I38" s="122" t="str">
        <f>'plateau 2'!I8</f>
        <v>Espoir cominois</v>
      </c>
      <c r="J38" s="122" t="str">
        <f>'plateau 2'!J8</f>
        <v>FR</v>
      </c>
      <c r="K38" s="122">
        <f>'plateau 2'!K8</f>
        <v>63.75</v>
      </c>
      <c r="L38" s="122">
        <f>'plateau 2'!L8</f>
        <v>60</v>
      </c>
      <c r="M38" s="122">
        <f>'plateau 2'!M8</f>
        <v>65</v>
      </c>
      <c r="N38" s="122">
        <f>'plateau 2'!N8</f>
        <v>-71</v>
      </c>
      <c r="O38" s="122">
        <f>'plateau 2'!O8</f>
        <v>65</v>
      </c>
      <c r="P38" s="122">
        <f>'plateau 2'!P8</f>
        <v>85</v>
      </c>
      <c r="Q38" s="122">
        <f>'plateau 2'!Q8</f>
        <v>90</v>
      </c>
      <c r="R38" s="122">
        <f>'plateau 2'!R8</f>
        <v>-95</v>
      </c>
      <c r="S38" s="122">
        <f>'plateau 2'!S8</f>
        <v>90</v>
      </c>
      <c r="T38" s="122">
        <f>'plateau 2'!T8</f>
        <v>155</v>
      </c>
      <c r="U38" s="122" t="str">
        <f>'plateau 2'!U8</f>
        <v>IRG + 5</v>
      </c>
      <c r="V38" s="122" t="str">
        <f>'plateau 2'!V8</f>
        <v>U17 M67</v>
      </c>
      <c r="W38" s="122">
        <f>'plateau 2'!W8</f>
        <v>228.32697233646488</v>
      </c>
      <c r="X38" s="82"/>
      <c r="Y38" s="80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</row>
    <row r="39" spans="2:88" s="4" customFormat="1" ht="30" customHeight="1" x14ac:dyDescent="0.25">
      <c r="B39" s="122">
        <f>'plateau 2'!B9</f>
        <v>103</v>
      </c>
      <c r="C39" s="122">
        <f>'plateau 2'!C9</f>
        <v>0</v>
      </c>
      <c r="D39" s="122">
        <f>'plateau 2'!D9</f>
        <v>0</v>
      </c>
      <c r="E39" s="122" t="str">
        <f>'plateau 2'!E9</f>
        <v>H</v>
      </c>
      <c r="F39" s="122" t="str">
        <f>'plateau 2'!F9</f>
        <v>NSEGMA</v>
      </c>
      <c r="G39" s="122" t="str">
        <f>'plateau 2'!G9</f>
        <v>Daniel</v>
      </c>
      <c r="H39" s="122">
        <f>'plateau 2'!H9</f>
        <v>2011</v>
      </c>
      <c r="I39" s="122" t="str">
        <f>'plateau 2'!I9</f>
        <v>Espoir cominois</v>
      </c>
      <c r="J39" s="122" t="str">
        <f>'plateau 2'!J9</f>
        <v>FR</v>
      </c>
      <c r="K39" s="122">
        <f>'plateau 2'!K9</f>
        <v>69.25</v>
      </c>
      <c r="L39" s="122">
        <f>'plateau 2'!L9</f>
        <v>90</v>
      </c>
      <c r="M39" s="122">
        <f>'plateau 2'!M9</f>
        <v>95</v>
      </c>
      <c r="N39" s="122">
        <f>'plateau 2'!N9</f>
        <v>97</v>
      </c>
      <c r="O39" s="122">
        <f>'plateau 2'!O9</f>
        <v>97</v>
      </c>
      <c r="P39" s="122">
        <f>'plateau 2'!P9</f>
        <v>100</v>
      </c>
      <c r="Q39" s="122">
        <f>'plateau 2'!Q9</f>
        <v>-105</v>
      </c>
      <c r="R39" s="122">
        <f>'plateau 2'!R9</f>
        <v>-110</v>
      </c>
      <c r="S39" s="122">
        <f>'plateau 2'!S9</f>
        <v>100</v>
      </c>
      <c r="T39" s="122">
        <f>'plateau 2'!T9</f>
        <v>197</v>
      </c>
      <c r="U39" s="122" t="e">
        <f>'plateau 2'!U9</f>
        <v>#N/A</v>
      </c>
      <c r="V39" s="122" t="str">
        <f>'plateau 2'!V9</f>
        <v>NON</v>
      </c>
      <c r="W39" s="122">
        <f>'plateau 2'!W9</f>
        <v>274.5121105872276</v>
      </c>
      <c r="X39" s="82"/>
      <c r="Y39" s="80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</row>
    <row r="40" spans="2:88" s="4" customFormat="1" ht="30" customHeight="1" x14ac:dyDescent="0.25">
      <c r="B40" s="122">
        <f>'plateau 2'!B10</f>
        <v>104</v>
      </c>
      <c r="C40" s="122">
        <f>'plateau 2'!C10</f>
        <v>0</v>
      </c>
      <c r="D40" s="122">
        <f>'plateau 2'!D10</f>
        <v>0</v>
      </c>
      <c r="E40" s="122" t="str">
        <f>'plateau 2'!E10</f>
        <v>H</v>
      </c>
      <c r="F40" s="122" t="str">
        <f>'plateau 2'!F10</f>
        <v>BARTHELEMY</v>
      </c>
      <c r="G40" s="122" t="str">
        <f>'plateau 2'!G10</f>
        <v>Florent</v>
      </c>
      <c r="H40" s="122">
        <f>'plateau 2'!H10</f>
        <v>2005</v>
      </c>
      <c r="I40" s="122" t="str">
        <f>'plateau 2'!I10</f>
        <v>Pas de Calais</v>
      </c>
      <c r="J40" s="122" t="str">
        <f>'plateau 2'!J10</f>
        <v>FR</v>
      </c>
      <c r="K40" s="122">
        <f>'plateau 2'!K10</f>
        <v>58.55</v>
      </c>
      <c r="L40" s="122">
        <f>'plateau 2'!L10</f>
        <v>70</v>
      </c>
      <c r="M40" s="122">
        <f>'plateau 2'!M10</f>
        <v>75</v>
      </c>
      <c r="N40" s="122">
        <f>'plateau 2'!N10</f>
        <v>80</v>
      </c>
      <c r="O40" s="122">
        <f>'plateau 2'!O10</f>
        <v>80</v>
      </c>
      <c r="P40" s="122">
        <f>'plateau 2'!P10</f>
        <v>-100</v>
      </c>
      <c r="Q40" s="122">
        <f>'plateau 2'!Q10</f>
        <v>100</v>
      </c>
      <c r="R40" s="122">
        <f>'plateau 2'!R10</f>
        <v>-105</v>
      </c>
      <c r="S40" s="122">
        <f>'plateau 2'!S10</f>
        <v>100</v>
      </c>
      <c r="T40" s="122">
        <f>'plateau 2'!T10</f>
        <v>180</v>
      </c>
      <c r="U40" s="122" t="str">
        <f>'plateau 2'!U10</f>
        <v>FED + 10</v>
      </c>
      <c r="V40" s="122" t="str">
        <f>'plateau 2'!V10</f>
        <v>U20 M61</v>
      </c>
      <c r="W40" s="122">
        <f>'plateau 2'!W10</f>
        <v>282.00429830143605</v>
      </c>
      <c r="X40" s="82"/>
      <c r="Y40" s="80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</row>
    <row r="41" spans="2:88" s="4" customFormat="1" ht="30" customHeight="1" x14ac:dyDescent="0.25">
      <c r="B41" s="122">
        <f>'plateau 2'!B11</f>
        <v>105</v>
      </c>
      <c r="C41" s="122">
        <f>'plateau 2'!C11</f>
        <v>0</v>
      </c>
      <c r="D41" s="122">
        <f>'plateau 2'!D11</f>
        <v>0</v>
      </c>
      <c r="E41" s="122" t="str">
        <f>'plateau 2'!E11</f>
        <v>H</v>
      </c>
      <c r="F41" s="122" t="str">
        <f>'plateau 2'!F11</f>
        <v>BEYER</v>
      </c>
      <c r="G41" s="122" t="str">
        <f>'plateau 2'!G11</f>
        <v>Antoine</v>
      </c>
      <c r="H41" s="122">
        <f>'plateau 2'!H11</f>
        <v>1994</v>
      </c>
      <c r="I41" s="122" t="str">
        <f>'plateau 2'!I11</f>
        <v>Comines</v>
      </c>
      <c r="J41" s="122" t="str">
        <f>'plateau 2'!J11</f>
        <v>FR</v>
      </c>
      <c r="K41" s="122">
        <f>'plateau 2'!K11</f>
        <v>68.650000000000006</v>
      </c>
      <c r="L41" s="122">
        <f>'plateau 2'!L11</f>
        <v>88</v>
      </c>
      <c r="M41" s="122">
        <f>'plateau 2'!M11</f>
        <v>92</v>
      </c>
      <c r="N41" s="122">
        <f>'plateau 2'!N11</f>
        <v>-96</v>
      </c>
      <c r="O41" s="122">
        <f>'plateau 2'!O11</f>
        <v>92</v>
      </c>
      <c r="P41" s="122">
        <f>'plateau 2'!P11</f>
        <v>104</v>
      </c>
      <c r="Q41" s="122">
        <f>'plateau 2'!Q11</f>
        <v>107</v>
      </c>
      <c r="R41" s="122">
        <f>'plateau 2'!R11</f>
        <v>-110</v>
      </c>
      <c r="S41" s="122">
        <f>'plateau 2'!S11</f>
        <v>107</v>
      </c>
      <c r="T41" s="122">
        <f>'plateau 2'!T11</f>
        <v>199</v>
      </c>
      <c r="U41" s="122" t="str">
        <f>'plateau 2'!U11</f>
        <v>REG + 14</v>
      </c>
      <c r="V41" s="122" t="str">
        <f>'plateau 2'!V11</f>
        <v>SE M73</v>
      </c>
      <c r="W41" s="122">
        <f>'plateau 2'!W11</f>
        <v>278.86751993276613</v>
      </c>
      <c r="X41" s="82"/>
      <c r="Y41" s="80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</row>
    <row r="42" spans="2:88" s="4" customFormat="1" ht="30" customHeight="1" x14ac:dyDescent="0.25">
      <c r="B42" s="122">
        <f>'plateau 2'!B12</f>
        <v>106</v>
      </c>
      <c r="C42" s="122">
        <f>'plateau 2'!C12</f>
        <v>0</v>
      </c>
      <c r="D42" s="122">
        <f>'plateau 2'!D12</f>
        <v>0</v>
      </c>
      <c r="E42" s="122" t="str">
        <f>'plateau 2'!E12</f>
        <v>H</v>
      </c>
      <c r="F42" s="122" t="str">
        <f>'plateau 2'!F12</f>
        <v>GELE</v>
      </c>
      <c r="G42" s="122" t="str">
        <f>'plateau 2'!G12</f>
        <v>Ulysse</v>
      </c>
      <c r="H42" s="122">
        <f>'plateau 2'!H12</f>
        <v>2006</v>
      </c>
      <c r="I42" s="122" t="str">
        <f>'plateau 2'!I12</f>
        <v>Pas de Calais</v>
      </c>
      <c r="J42" s="122" t="str">
        <f>'plateau 2'!J12</f>
        <v>FR</v>
      </c>
      <c r="K42" s="122">
        <f>'plateau 2'!K12</f>
        <v>75.650000000000006</v>
      </c>
      <c r="L42" s="122">
        <f>'plateau 2'!L12</f>
        <v>88</v>
      </c>
      <c r="M42" s="122">
        <f>'plateau 2'!M12</f>
        <v>-91</v>
      </c>
      <c r="N42" s="122">
        <f>'plateau 2'!N12</f>
        <v>-92</v>
      </c>
      <c r="O42" s="122">
        <f>'plateau 2'!O12</f>
        <v>88</v>
      </c>
      <c r="P42" s="122">
        <f>'plateau 2'!P12</f>
        <v>105</v>
      </c>
      <c r="Q42" s="122">
        <f>'plateau 2'!Q12</f>
        <v>-109</v>
      </c>
      <c r="R42" s="122">
        <f>'plateau 2'!R12</f>
        <v>-109</v>
      </c>
      <c r="S42" s="122">
        <f>'plateau 2'!S12</f>
        <v>105</v>
      </c>
      <c r="T42" s="122">
        <f>'plateau 2'!T12</f>
        <v>193</v>
      </c>
      <c r="U42" s="122" t="str">
        <f>'plateau 2'!U12</f>
        <v>FED + 3</v>
      </c>
      <c r="V42" s="122" t="str">
        <f>'plateau 2'!V12</f>
        <v>U17 M81</v>
      </c>
      <c r="W42" s="122">
        <f>'plateau 2'!W12</f>
        <v>254.64786091501816</v>
      </c>
      <c r="X42" s="82"/>
      <c r="Y42" s="80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</row>
    <row r="43" spans="2:88" s="4" customFormat="1" ht="30" customHeight="1" x14ac:dyDescent="0.25">
      <c r="B43" s="122">
        <f>'plateau 2'!B13</f>
        <v>107</v>
      </c>
      <c r="C43" s="122">
        <f>'plateau 2'!C13</f>
        <v>0</v>
      </c>
      <c r="D43" s="122">
        <f>'plateau 2'!D13</f>
        <v>0</v>
      </c>
      <c r="E43" s="122" t="str">
        <f>'plateau 2'!E13</f>
        <v>H</v>
      </c>
      <c r="F43" s="122" t="str">
        <f>'plateau 2'!F13</f>
        <v>WELLING</v>
      </c>
      <c r="G43" s="122" t="str">
        <f>'plateau 2'!G13</f>
        <v>Jonas</v>
      </c>
      <c r="H43" s="122">
        <f>'plateau 2'!H13</f>
        <v>2007</v>
      </c>
      <c r="I43" s="122" t="str">
        <f>'plateau 2'!I13</f>
        <v>Waalsport Hollande</v>
      </c>
      <c r="J43" s="122" t="str">
        <f>'plateau 2'!J13</f>
        <v>HOL</v>
      </c>
      <c r="K43" s="122">
        <f>'plateau 2'!K13</f>
        <v>79.55</v>
      </c>
      <c r="L43" s="122">
        <f>'plateau 2'!L13</f>
        <v>85</v>
      </c>
      <c r="M43" s="122">
        <f>'plateau 2'!M13</f>
        <v>89</v>
      </c>
      <c r="N43" s="122">
        <f>'plateau 2'!N13</f>
        <v>-92</v>
      </c>
      <c r="O43" s="122">
        <f>'plateau 2'!O13</f>
        <v>89</v>
      </c>
      <c r="P43" s="122">
        <f>'plateau 2'!P13</f>
        <v>100</v>
      </c>
      <c r="Q43" s="122">
        <f>'plateau 2'!Q13</f>
        <v>-105</v>
      </c>
      <c r="R43" s="122">
        <f>'plateau 2'!R13</f>
        <v>-108</v>
      </c>
      <c r="S43" s="122">
        <f>'plateau 2'!S13</f>
        <v>100</v>
      </c>
      <c r="T43" s="122">
        <f>'plateau 2'!T13</f>
        <v>189</v>
      </c>
      <c r="U43" s="122" t="str">
        <f>'plateau 2'!U13</f>
        <v>IRG + 19</v>
      </c>
      <c r="V43" s="122" t="str">
        <f>'plateau 2'!V13</f>
        <v>U17 M81</v>
      </c>
      <c r="W43" s="122">
        <f>'plateau 2'!W13</f>
        <v>242.27567346651139</v>
      </c>
      <c r="X43" s="82"/>
      <c r="Y43" s="80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</row>
    <row r="44" spans="2:88" s="4" customFormat="1" ht="30" customHeight="1" x14ac:dyDescent="0.25">
      <c r="B44" s="122">
        <f>'plateau 2'!B14</f>
        <v>108</v>
      </c>
      <c r="C44" s="122">
        <f>'plateau 2'!C14</f>
        <v>0</v>
      </c>
      <c r="D44" s="122">
        <f>'plateau 2'!D14</f>
        <v>0</v>
      </c>
      <c r="E44" s="122" t="str">
        <f>'plateau 2'!E14</f>
        <v>H</v>
      </c>
      <c r="F44" s="122" t="str">
        <f>'plateau 2'!F14</f>
        <v>KUZOVLEV</v>
      </c>
      <c r="G44" s="122" t="str">
        <f>'plateau 2'!G14</f>
        <v>Oleksandr</v>
      </c>
      <c r="H44" s="122">
        <f>'plateau 2'!H14</f>
        <v>2008</v>
      </c>
      <c r="I44" s="122" t="str">
        <f>'plateau 2'!I14</f>
        <v>Ukraine</v>
      </c>
      <c r="J44" s="122" t="str">
        <f>'plateau 2'!J14</f>
        <v>UKR</v>
      </c>
      <c r="K44" s="122">
        <f>'plateau 2'!K14</f>
        <v>73.55</v>
      </c>
      <c r="L44" s="122">
        <f>'plateau 2'!L14</f>
        <v>-90</v>
      </c>
      <c r="M44" s="122">
        <f>'plateau 2'!M14</f>
        <v>90</v>
      </c>
      <c r="N44" s="122">
        <f>'plateau 2'!N14</f>
        <v>93</v>
      </c>
      <c r="O44" s="122">
        <f>'plateau 2'!O14</f>
        <v>93</v>
      </c>
      <c r="P44" s="122">
        <f>'plateau 2'!P14</f>
        <v>110</v>
      </c>
      <c r="Q44" s="122">
        <f>'plateau 2'!Q14</f>
        <v>115</v>
      </c>
      <c r="R44" s="122">
        <f>'plateau 2'!R14</f>
        <v>-120</v>
      </c>
      <c r="S44" s="122">
        <f>'plateau 2'!S14</f>
        <v>115</v>
      </c>
      <c r="T44" s="122">
        <f>'plateau 2'!T14</f>
        <v>208</v>
      </c>
      <c r="U44" s="122" t="str">
        <f>'plateau 2'!U14</f>
        <v>NAT + 18</v>
      </c>
      <c r="V44" s="122" t="str">
        <f>'plateau 2'!V14</f>
        <v>U15 M81</v>
      </c>
      <c r="W44" s="122">
        <f>'plateau 2'!W14</f>
        <v>279.10453225151497</v>
      </c>
      <c r="X44" s="82"/>
      <c r="Y44" s="80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</row>
    <row r="45" spans="2:88" s="4" customFormat="1" ht="30" customHeight="1" x14ac:dyDescent="0.25">
      <c r="B45" s="122">
        <f>'plateau 2'!B15</f>
        <v>109</v>
      </c>
      <c r="C45" s="122">
        <f>'plateau 2'!C15</f>
        <v>0</v>
      </c>
      <c r="D45" s="122">
        <f>'plateau 2'!D15</f>
        <v>0</v>
      </c>
      <c r="E45" s="122" t="str">
        <f>'plateau 2'!E15</f>
        <v>H</v>
      </c>
      <c r="F45" s="122" t="str">
        <f>'plateau 2'!F15</f>
        <v>AYDOGAN</v>
      </c>
      <c r="G45" s="122" t="str">
        <f>'plateau 2'!G15</f>
        <v>Atilla</v>
      </c>
      <c r="H45" s="122">
        <f>'plateau 2'!H15</f>
        <v>2005</v>
      </c>
      <c r="I45" s="122" t="str">
        <f>'plateau 2'!I15</f>
        <v>Belgique 2</v>
      </c>
      <c r="J45" s="122" t="str">
        <f>'plateau 2'!J15</f>
        <v>BEL</v>
      </c>
      <c r="K45" s="122">
        <f>'plateau 2'!K15</f>
        <v>66.55</v>
      </c>
      <c r="L45" s="122">
        <f>'plateau 2'!L15</f>
        <v>105</v>
      </c>
      <c r="M45" s="122">
        <f>'plateau 2'!M15</f>
        <v>-110</v>
      </c>
      <c r="N45" s="122">
        <f>'plateau 2'!N15</f>
        <v>-110</v>
      </c>
      <c r="O45" s="122">
        <f>'plateau 2'!O15</f>
        <v>105</v>
      </c>
      <c r="P45" s="122">
        <f>'plateau 2'!P15</f>
        <v>127</v>
      </c>
      <c r="Q45" s="122">
        <f>'plateau 2'!Q15</f>
        <v>-135</v>
      </c>
      <c r="R45" s="122">
        <f>'plateau 2'!R15</f>
        <v>-135</v>
      </c>
      <c r="S45" s="122">
        <f>'plateau 2'!S15</f>
        <v>127</v>
      </c>
      <c r="T45" s="122">
        <f>'plateau 2'!T15</f>
        <v>232</v>
      </c>
      <c r="U45" s="122" t="str">
        <f>'plateau 2'!U15</f>
        <v>NAT + 14</v>
      </c>
      <c r="V45" s="122" t="str">
        <f>'plateau 2'!V15</f>
        <v>U20 M67</v>
      </c>
      <c r="W45" s="122">
        <f>'plateau 2'!W15</f>
        <v>331.85369094858066</v>
      </c>
      <c r="X45" s="81"/>
      <c r="Y45" s="75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</row>
    <row r="46" spans="2:88" s="4" customFormat="1" ht="30" customHeight="1" x14ac:dyDescent="0.25">
      <c r="B46" s="122">
        <f>'plateau 2'!B16</f>
        <v>110</v>
      </c>
      <c r="C46" s="122">
        <f>'plateau 2'!C16</f>
        <v>0</v>
      </c>
      <c r="D46" s="122">
        <f>'plateau 2'!D16</f>
        <v>0</v>
      </c>
      <c r="E46" s="122" t="str">
        <f>'plateau 2'!E16</f>
        <v>H</v>
      </c>
      <c r="F46" s="122" t="str">
        <f>'plateau 2'!F16</f>
        <v>PEDRAK</v>
      </c>
      <c r="G46" s="122" t="str">
        <f>'plateau 2'!G16</f>
        <v>Benjamin</v>
      </c>
      <c r="H46" s="122">
        <f>'plateau 2'!H16</f>
        <v>1998</v>
      </c>
      <c r="I46" s="122" t="str">
        <f>'plateau 2'!I16</f>
        <v>Cle Amiens</v>
      </c>
      <c r="J46" s="122" t="str">
        <f>'plateau 2'!J16</f>
        <v>FR</v>
      </c>
      <c r="K46" s="122">
        <f>'plateau 2'!K16</f>
        <v>68.349999999999994</v>
      </c>
      <c r="L46" s="122">
        <f>'plateau 2'!L16</f>
        <v>-110</v>
      </c>
      <c r="M46" s="122">
        <f>'plateau 2'!M16</f>
        <v>110</v>
      </c>
      <c r="N46" s="122">
        <f>'plateau 2'!N16</f>
        <v>115</v>
      </c>
      <c r="O46" s="122">
        <f>'plateau 2'!O16</f>
        <v>115</v>
      </c>
      <c r="P46" s="122">
        <f>'plateau 2'!P16</f>
        <v>-135</v>
      </c>
      <c r="Q46" s="122">
        <f>'plateau 2'!Q16</f>
        <v>135</v>
      </c>
      <c r="R46" s="122">
        <f>'plateau 2'!R16</f>
        <v>-145</v>
      </c>
      <c r="S46" s="122">
        <f>'plateau 2'!S16</f>
        <v>135</v>
      </c>
      <c r="T46" s="122">
        <f>'plateau 2'!T16</f>
        <v>250</v>
      </c>
      <c r="U46" s="122" t="str">
        <f>'plateau 2'!U16</f>
        <v>FED + 10</v>
      </c>
      <c r="V46" s="122" t="str">
        <f>'plateau 2'!V16</f>
        <v>SE M73</v>
      </c>
      <c r="W46" s="122">
        <f>'plateau 2'!W16</f>
        <v>351.33830728015909</v>
      </c>
      <c r="X46" s="82"/>
      <c r="Y46" s="80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</row>
    <row r="47" spans="2:88" s="4" customFormat="1" ht="30" customHeight="1" x14ac:dyDescent="0.25">
      <c r="B47" s="122">
        <f>'plateau 4'!B7</f>
        <v>111</v>
      </c>
      <c r="C47" s="122">
        <f>'plateau 4'!C7</f>
        <v>0</v>
      </c>
      <c r="D47" s="122">
        <f>'plateau 4'!D7</f>
        <v>0</v>
      </c>
      <c r="E47" s="122" t="str">
        <f>'plateau 4'!E7</f>
        <v>H</v>
      </c>
      <c r="F47" s="122" t="str">
        <f>'plateau 4'!F7</f>
        <v>SOM</v>
      </c>
      <c r="G47" s="122" t="str">
        <f>'plateau 4'!G7</f>
        <v>Hanzo</v>
      </c>
      <c r="H47" s="122">
        <f>'plateau 4'!H7</f>
        <v>2005</v>
      </c>
      <c r="I47" s="122" t="str">
        <f>'plateau 4'!I7</f>
        <v>Nord</v>
      </c>
      <c r="J47" s="122" t="str">
        <f>'plateau 4'!J7</f>
        <v>FR</v>
      </c>
      <c r="K47" s="122">
        <f>'plateau 4'!K7</f>
        <v>70.150000000000006</v>
      </c>
      <c r="L47" s="122">
        <f>'plateau 4'!L7</f>
        <v>107</v>
      </c>
      <c r="M47" s="122">
        <f>'plateau 4'!M7</f>
        <v>112</v>
      </c>
      <c r="N47" s="122">
        <f>'plateau 4'!N7</f>
        <v>-117</v>
      </c>
      <c r="O47" s="122">
        <f>'plateau 4'!O7</f>
        <v>112</v>
      </c>
      <c r="P47" s="122">
        <f>'plateau 4'!P7</f>
        <v>135</v>
      </c>
      <c r="Q47" s="122">
        <f>'plateau 4'!Q7</f>
        <v>-140</v>
      </c>
      <c r="R47" s="122">
        <f>'plateau 4'!R7</f>
        <v>-140</v>
      </c>
      <c r="S47" s="122">
        <f>'plateau 4'!S7</f>
        <v>135</v>
      </c>
      <c r="T47" s="122">
        <f>'plateau 4'!T7</f>
        <v>247</v>
      </c>
      <c r="U47" s="122" t="str">
        <f>'plateau 4'!U7</f>
        <v>NAT + 17</v>
      </c>
      <c r="V47" s="122" t="str">
        <f>'plateau 4'!V7</f>
        <v>U20 M73</v>
      </c>
      <c r="W47" s="122">
        <f>'plateau 4'!W7</f>
        <v>341.34648171395332</v>
      </c>
      <c r="X47" s="82"/>
      <c r="Y47" s="80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</row>
    <row r="48" spans="2:88" s="4" customFormat="1" ht="30" customHeight="1" x14ac:dyDescent="0.25">
      <c r="B48" s="122">
        <f>'plateau 4'!B8</f>
        <v>112</v>
      </c>
      <c r="C48" s="122">
        <f>'plateau 4'!C8</f>
        <v>0</v>
      </c>
      <c r="D48" s="122">
        <f>'plateau 4'!D8</f>
        <v>0</v>
      </c>
      <c r="E48" s="122" t="str">
        <f>'plateau 4'!E8</f>
        <v>H</v>
      </c>
      <c r="F48" s="122" t="str">
        <f>'plateau 4'!F8</f>
        <v>BUYSSHAERT</v>
      </c>
      <c r="G48" s="122" t="str">
        <f>'plateau 4'!G8</f>
        <v>Tristan</v>
      </c>
      <c r="H48" s="122">
        <f>'plateau 4'!H8</f>
        <v>2003</v>
      </c>
      <c r="I48" s="122" t="str">
        <f>'plateau 4'!I8</f>
        <v>Comines</v>
      </c>
      <c r="J48" s="122" t="str">
        <f>'plateau 4'!J8</f>
        <v>FR</v>
      </c>
      <c r="K48" s="122">
        <f>'plateau 4'!K8</f>
        <v>80.2</v>
      </c>
      <c r="L48" s="122">
        <f>'plateau 4'!L8</f>
        <v>117</v>
      </c>
      <c r="M48" s="122">
        <f>'plateau 4'!M8</f>
        <v>122</v>
      </c>
      <c r="N48" s="122">
        <f>'plateau 4'!N8</f>
        <v>-125</v>
      </c>
      <c r="O48" s="122">
        <f>'plateau 4'!O8</f>
        <v>122</v>
      </c>
      <c r="P48" s="122">
        <f>'plateau 4'!P8</f>
        <v>130</v>
      </c>
      <c r="Q48" s="122">
        <f>'plateau 4'!Q8</f>
        <v>135</v>
      </c>
      <c r="R48" s="122">
        <f>'plateau 4'!R8</f>
        <v>-138</v>
      </c>
      <c r="S48" s="122">
        <f>'plateau 4'!S8</f>
        <v>135</v>
      </c>
      <c r="T48" s="122">
        <f>'plateau 4'!T8</f>
        <v>257</v>
      </c>
      <c r="U48" s="122" t="str">
        <f>'plateau 4'!U8</f>
        <v>NAT + 12</v>
      </c>
      <c r="V48" s="122" t="str">
        <f>'plateau 4'!V8</f>
        <v>U20 M81</v>
      </c>
      <c r="W48" s="122">
        <f>'plateau 4'!W8</f>
        <v>327.95686043098971</v>
      </c>
      <c r="X48" s="82"/>
      <c r="Y48" s="80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</row>
    <row r="49" spans="2:88" s="4" customFormat="1" ht="30" customHeight="1" x14ac:dyDescent="0.25">
      <c r="B49" s="122">
        <f>'plateau 4'!B9</f>
        <v>113</v>
      </c>
      <c r="C49" s="122">
        <f>'plateau 4'!C9</f>
        <v>0</v>
      </c>
      <c r="D49" s="122">
        <f>'plateau 4'!D9</f>
        <v>0</v>
      </c>
      <c r="E49" s="122" t="str">
        <f>'plateau 4'!E9</f>
        <v>H</v>
      </c>
      <c r="F49" s="122" t="str">
        <f>'plateau 4'!F9</f>
        <v>COUCHARD</v>
      </c>
      <c r="G49" s="122" t="str">
        <f>'plateau 4'!G9</f>
        <v>Robin</v>
      </c>
      <c r="H49" s="122">
        <f>'plateau 4'!H9</f>
        <v>2000</v>
      </c>
      <c r="I49" s="122" t="str">
        <f>'plateau 4'!I9</f>
        <v>Belgique 2</v>
      </c>
      <c r="J49" s="122" t="str">
        <f>'plateau 4'!J9</f>
        <v>BEL</v>
      </c>
      <c r="K49" s="122">
        <f>'plateau 4'!K9</f>
        <v>79.150000000000006</v>
      </c>
      <c r="L49" s="122">
        <f>'plateau 4'!L9</f>
        <v>116</v>
      </c>
      <c r="M49" s="122">
        <f>'plateau 4'!M9</f>
        <v>121</v>
      </c>
      <c r="N49" s="122">
        <f>'plateau 4'!N9</f>
        <v>-124</v>
      </c>
      <c r="O49" s="122">
        <f>'plateau 4'!O9</f>
        <v>121</v>
      </c>
      <c r="P49" s="122">
        <f>'plateau 4'!P9</f>
        <v>138</v>
      </c>
      <c r="Q49" s="122">
        <f>'plateau 4'!Q9</f>
        <v>143</v>
      </c>
      <c r="R49" s="122">
        <f>'plateau 4'!R9</f>
        <v>-148</v>
      </c>
      <c r="S49" s="122">
        <f>'plateau 4'!S9</f>
        <v>143</v>
      </c>
      <c r="T49" s="122">
        <f>'plateau 4'!T9</f>
        <v>264</v>
      </c>
      <c r="U49" s="122" t="str">
        <f>'plateau 4'!U9</f>
        <v>FED + 14</v>
      </c>
      <c r="V49" s="122" t="str">
        <f>'plateau 4'!V9</f>
        <v>SE M81</v>
      </c>
      <c r="W49" s="122">
        <f>'plateau 4'!W9</f>
        <v>339.37343893370996</v>
      </c>
      <c r="X49" s="82"/>
      <c r="Y49" s="80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</row>
    <row r="50" spans="2:88" s="4" customFormat="1" ht="30" customHeight="1" x14ac:dyDescent="0.25">
      <c r="B50" s="122">
        <f>'plateau 4'!B10</f>
        <v>114</v>
      </c>
      <c r="C50" s="122">
        <f>'plateau 4'!C10</f>
        <v>0</v>
      </c>
      <c r="D50" s="122">
        <f>'plateau 4'!D10</f>
        <v>0</v>
      </c>
      <c r="E50" s="122" t="str">
        <f>'plateau 4'!E10</f>
        <v>h</v>
      </c>
      <c r="F50" s="122" t="str">
        <f>'plateau 4'!F10</f>
        <v>DE HOOP</v>
      </c>
      <c r="G50" s="122" t="str">
        <f>'plateau 4'!G10</f>
        <v>Tom</v>
      </c>
      <c r="H50" s="122">
        <f>'plateau 4'!H10</f>
        <v>2000</v>
      </c>
      <c r="I50" s="122" t="str">
        <f>'plateau 4'!I10</f>
        <v>Waalsport Hollande</v>
      </c>
      <c r="J50" s="122" t="str">
        <f>'plateau 4'!J10</f>
        <v>HOL</v>
      </c>
      <c r="K50" s="122">
        <f>'plateau 4'!K10</f>
        <v>85.5</v>
      </c>
      <c r="L50" s="122">
        <f>'plateau 4'!L10</f>
        <v>110</v>
      </c>
      <c r="M50" s="122">
        <f>'plateau 4'!M10</f>
        <v>114</v>
      </c>
      <c r="N50" s="122">
        <f>'plateau 4'!N10</f>
        <v>-117</v>
      </c>
      <c r="O50" s="122">
        <f>'plateau 4'!O10</f>
        <v>114</v>
      </c>
      <c r="P50" s="122">
        <f>'plateau 4'!P10</f>
        <v>135</v>
      </c>
      <c r="Q50" s="122">
        <f>'plateau 4'!Q10</f>
        <v>142</v>
      </c>
      <c r="R50" s="122">
        <f>'plateau 4'!R10</f>
        <v>-146</v>
      </c>
      <c r="S50" s="122">
        <f>'plateau 4'!S10</f>
        <v>142</v>
      </c>
      <c r="T50" s="122">
        <f>'plateau 4'!T10</f>
        <v>256</v>
      </c>
      <c r="U50" s="122" t="str">
        <f>'plateau 4'!U10</f>
        <v>IRG + 26</v>
      </c>
      <c r="V50" s="122" t="str">
        <f>'plateau 4'!V10</f>
        <v>SE M89</v>
      </c>
      <c r="W50" s="122">
        <f>'plateau 4'!W10</f>
        <v>315.72232531891524</v>
      </c>
      <c r="X50" s="82"/>
      <c r="Y50" s="80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</row>
    <row r="51" spans="2:88" s="4" customFormat="1" ht="30" customHeight="1" x14ac:dyDescent="0.25">
      <c r="B51" s="122">
        <f>'plateau 4'!B11</f>
        <v>115</v>
      </c>
      <c r="C51" s="122">
        <f>'plateau 4'!C11</f>
        <v>0</v>
      </c>
      <c r="D51" s="122">
        <f>'plateau 4'!D11</f>
        <v>0</v>
      </c>
      <c r="E51" s="122" t="str">
        <f>'plateau 4'!E11</f>
        <v>H</v>
      </c>
      <c r="F51" s="122" t="str">
        <f>'plateau 4'!F11</f>
        <v>PETERS</v>
      </c>
      <c r="G51" s="122" t="str">
        <f>'plateau 4'!G11</f>
        <v>Loric</v>
      </c>
      <c r="H51" s="122">
        <f>'plateau 4'!H11</f>
        <v>2000</v>
      </c>
      <c r="I51" s="122" t="str">
        <f>'plateau 4'!I11</f>
        <v>Belgique 1</v>
      </c>
      <c r="J51" s="122" t="str">
        <f>'plateau 4'!J11</f>
        <v>BEL</v>
      </c>
      <c r="K51" s="122">
        <f>'plateau 4'!K11</f>
        <v>78.349999999999994</v>
      </c>
      <c r="L51" s="122">
        <f>'plateau 4'!L11</f>
        <v>115</v>
      </c>
      <c r="M51" s="122">
        <f>'plateau 4'!M11</f>
        <v>120</v>
      </c>
      <c r="N51" s="122">
        <f>'plateau 4'!N11</f>
        <v>-123</v>
      </c>
      <c r="O51" s="122">
        <f>'plateau 4'!O11</f>
        <v>120</v>
      </c>
      <c r="P51" s="122">
        <f>'plateau 4'!P11</f>
        <v>143</v>
      </c>
      <c r="Q51" s="122">
        <f>'plateau 4'!Q11</f>
        <v>148</v>
      </c>
      <c r="R51" s="122">
        <f>'plateau 4'!R11</f>
        <v>152</v>
      </c>
      <c r="S51" s="122">
        <f>'plateau 4'!S11</f>
        <v>152</v>
      </c>
      <c r="T51" s="122">
        <f>'plateau 4'!T11</f>
        <v>272</v>
      </c>
      <c r="U51" s="122" t="str">
        <f>'plateau 4'!U11</f>
        <v>FED + 22</v>
      </c>
      <c r="V51" s="122" t="str">
        <f>'plateau 4'!V11</f>
        <v>SE M81</v>
      </c>
      <c r="W51" s="122">
        <f>'plateau 4'!W11</f>
        <v>351.66925943846491</v>
      </c>
      <c r="X51" s="82"/>
      <c r="Y51" s="80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</row>
    <row r="52" spans="2:88" s="4" customFormat="1" ht="30" customHeight="1" x14ac:dyDescent="0.25">
      <c r="B52" s="122">
        <f>'plateau 4'!B12</f>
        <v>116</v>
      </c>
      <c r="C52" s="122">
        <f>'plateau 4'!C12</f>
        <v>0</v>
      </c>
      <c r="D52" s="122">
        <f>'plateau 4'!D12</f>
        <v>0</v>
      </c>
      <c r="E52" s="122" t="str">
        <f>'plateau 4'!E12</f>
        <v>H</v>
      </c>
      <c r="F52" s="122" t="str">
        <f>'plateau 4'!F12</f>
        <v>KEARNEY</v>
      </c>
      <c r="G52" s="122" t="str">
        <f>'plateau 4'!G12</f>
        <v>Jack</v>
      </c>
      <c r="H52" s="122">
        <f>'plateau 4'!H12</f>
        <v>2005</v>
      </c>
      <c r="I52" s="122" t="str">
        <f>'plateau 4'!I12</f>
        <v>Irlande</v>
      </c>
      <c r="J52" s="122" t="str">
        <f>'plateau 4'!J12</f>
        <v>IRL</v>
      </c>
      <c r="K52" s="122">
        <f>'plateau 4'!K12</f>
        <v>93.15</v>
      </c>
      <c r="L52" s="122">
        <f>'plateau 4'!L12</f>
        <v>118</v>
      </c>
      <c r="M52" s="122">
        <f>'plateau 4'!M12</f>
        <v>-123</v>
      </c>
      <c r="N52" s="122">
        <f>'plateau 4'!N12</f>
        <v>-123</v>
      </c>
      <c r="O52" s="122">
        <f>'plateau 4'!O12</f>
        <v>118</v>
      </c>
      <c r="P52" s="122">
        <f>'plateau 4'!P12</f>
        <v>155</v>
      </c>
      <c r="Q52" s="122">
        <f>'plateau 4'!Q12</f>
        <v>160</v>
      </c>
      <c r="R52" s="122">
        <f>'plateau 4'!R12</f>
        <v>-165</v>
      </c>
      <c r="S52" s="122">
        <f>'plateau 4'!S12</f>
        <v>160</v>
      </c>
      <c r="T52" s="122">
        <f>'plateau 4'!T12</f>
        <v>278</v>
      </c>
      <c r="U52" s="122" t="str">
        <f>'plateau 4'!U12</f>
        <v>NAT + 18</v>
      </c>
      <c r="V52" s="122" t="str">
        <f>'plateau 4'!V12</f>
        <v>U20 M96</v>
      </c>
      <c r="W52" s="122">
        <f>'plateau 4'!W12</f>
        <v>328.86313918109403</v>
      </c>
      <c r="X52" s="82"/>
      <c r="Y52" s="80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</row>
    <row r="53" spans="2:88" s="4" customFormat="1" ht="30" customHeight="1" x14ac:dyDescent="0.25">
      <c r="B53" s="122">
        <f>'plateau 4'!B13</f>
        <v>117</v>
      </c>
      <c r="C53" s="122">
        <f>'plateau 4'!C13</f>
        <v>0</v>
      </c>
      <c r="D53" s="122">
        <f>'plateau 4'!D13</f>
        <v>0</v>
      </c>
      <c r="E53" s="122" t="str">
        <f>'plateau 4'!E13</f>
        <v>H</v>
      </c>
      <c r="F53" s="122" t="str">
        <f>'plateau 4'!F13</f>
        <v>WILL</v>
      </c>
      <c r="G53" s="122" t="str">
        <f>'plateau 4'!G13</f>
        <v>Said</v>
      </c>
      <c r="H53" s="122">
        <f>'plateau 4'!H13</f>
        <v>1999</v>
      </c>
      <c r="I53" s="122" t="str">
        <f>'plateau 4'!I13</f>
        <v>USA</v>
      </c>
      <c r="J53" s="122" t="str">
        <f>'plateau 4'!J13</f>
        <v>USA</v>
      </c>
      <c r="K53" s="122">
        <f>'plateau 4'!K13</f>
        <v>96.75</v>
      </c>
      <c r="L53" s="122">
        <f>'plateau 4'!L13</f>
        <v>-120</v>
      </c>
      <c r="M53" s="122">
        <f>'plateau 4'!M13</f>
        <v>-120</v>
      </c>
      <c r="N53" s="122">
        <f>'plateau 4'!N13</f>
        <v>-120</v>
      </c>
      <c r="O53" s="122">
        <f>'plateau 4'!O13</f>
        <v>0</v>
      </c>
      <c r="P53" s="122">
        <f>'plateau 4'!P13</f>
        <v>150</v>
      </c>
      <c r="Q53" s="122">
        <f>'plateau 4'!Q13</f>
        <v>157</v>
      </c>
      <c r="R53" s="122">
        <f>'plateau 4'!R13</f>
        <v>-161</v>
      </c>
      <c r="S53" s="122">
        <f>'plateau 4'!S13</f>
        <v>157</v>
      </c>
      <c r="T53" s="122">
        <f>'plateau 4'!T13</f>
        <v>157</v>
      </c>
      <c r="U53" s="122" t="str">
        <f>'plateau 4'!U13</f>
        <v>DEB -3</v>
      </c>
      <c r="V53" s="122" t="str">
        <f>'plateau 4'!V13</f>
        <v>SE M102</v>
      </c>
      <c r="W53" s="122">
        <f>'plateau 4'!W13</f>
        <v>182.60059127730221</v>
      </c>
      <c r="X53" s="82"/>
      <c r="Y53" s="80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</row>
    <row r="54" spans="2:88" s="4" customFormat="1" ht="30" customHeight="1" x14ac:dyDescent="0.25">
      <c r="B54" s="122">
        <f>'plateau 4'!B14</f>
        <v>118</v>
      </c>
      <c r="C54" s="122">
        <f>'plateau 4'!C14</f>
        <v>0</v>
      </c>
      <c r="D54" s="122">
        <f>'plateau 4'!D14</f>
        <v>0</v>
      </c>
      <c r="E54" s="122" t="str">
        <f>'plateau 4'!E14</f>
        <v>H</v>
      </c>
      <c r="F54" s="122" t="str">
        <f>'plateau 4'!F14</f>
        <v>COLOMBO</v>
      </c>
      <c r="G54" s="122" t="str">
        <f>'plateau 4'!G14</f>
        <v>Ludwig</v>
      </c>
      <c r="H54" s="122">
        <f>'plateau 4'!H14</f>
        <v>1995</v>
      </c>
      <c r="I54" s="122" t="str">
        <f>'plateau 4'!I14</f>
        <v>Franconville</v>
      </c>
      <c r="J54" s="122" t="str">
        <f>'plateau 4'!J14</f>
        <v>FR</v>
      </c>
      <c r="K54" s="122">
        <f>'plateau 4'!K14</f>
        <v>85.5</v>
      </c>
      <c r="L54" s="122">
        <f>'plateau 4'!L14</f>
        <v>125</v>
      </c>
      <c r="M54" s="122">
        <f>'plateau 4'!M14</f>
        <v>130</v>
      </c>
      <c r="N54" s="122">
        <f>'plateau 4'!N14</f>
        <v>-135</v>
      </c>
      <c r="O54" s="122">
        <f>'plateau 4'!O14</f>
        <v>130</v>
      </c>
      <c r="P54" s="122">
        <f>'plateau 4'!P14</f>
        <v>150</v>
      </c>
      <c r="Q54" s="122">
        <f>'plateau 4'!Q14</f>
        <v>156</v>
      </c>
      <c r="R54" s="122">
        <f>'plateau 4'!R14</f>
        <v>-160</v>
      </c>
      <c r="S54" s="122">
        <f>'plateau 4'!S14</f>
        <v>156</v>
      </c>
      <c r="T54" s="122">
        <f>'plateau 4'!T14</f>
        <v>286</v>
      </c>
      <c r="U54" s="122" t="str">
        <f>'plateau 4'!U14</f>
        <v>FED + 26</v>
      </c>
      <c r="V54" s="122" t="str">
        <f>'plateau 4'!V14</f>
        <v>SE M89</v>
      </c>
      <c r="W54" s="122">
        <f>'plateau 4'!W14</f>
        <v>352.72103531722564</v>
      </c>
      <c r="X54" s="82"/>
      <c r="Y54" s="80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</row>
    <row r="55" spans="2:88" s="4" customFormat="1" ht="30" customHeight="1" x14ac:dyDescent="0.25">
      <c r="B55" s="122">
        <f>'plateau 4'!B15</f>
        <v>119</v>
      </c>
      <c r="C55" s="122">
        <f>'plateau 4'!C15</f>
        <v>0</v>
      </c>
      <c r="D55" s="122">
        <f>'plateau 4'!D15</f>
        <v>0</v>
      </c>
      <c r="E55" s="122" t="str">
        <f>'plateau 4'!E15</f>
        <v>H</v>
      </c>
      <c r="F55" s="122" t="str">
        <f>'plateau 4'!F15</f>
        <v>COLIN</v>
      </c>
      <c r="G55" s="122" t="str">
        <f>'plateau 4'!G15</f>
        <v>Thomas</v>
      </c>
      <c r="H55" s="122">
        <f>'plateau 4'!H15</f>
        <v>1992</v>
      </c>
      <c r="I55" s="122" t="str">
        <f>'plateau 4'!I15</f>
        <v>Franconville</v>
      </c>
      <c r="J55" s="122" t="str">
        <f>'plateau 4'!J15</f>
        <v>FR</v>
      </c>
      <c r="K55" s="122">
        <f>'plateau 4'!K15</f>
        <v>86.65</v>
      </c>
      <c r="L55" s="122">
        <f>'plateau 4'!L15</f>
        <v>-130</v>
      </c>
      <c r="M55" s="122">
        <f>'plateau 4'!M15</f>
        <v>130</v>
      </c>
      <c r="N55" s="122">
        <f>'plateau 4'!N15</f>
        <v>-133</v>
      </c>
      <c r="O55" s="122">
        <f>'plateau 4'!O15</f>
        <v>130</v>
      </c>
      <c r="P55" s="122">
        <f>'plateau 4'!P15</f>
        <v>145</v>
      </c>
      <c r="Q55" s="122">
        <f>'plateau 4'!Q15</f>
        <v>153</v>
      </c>
      <c r="R55" s="122">
        <f>'plateau 4'!R15</f>
        <v>158</v>
      </c>
      <c r="S55" s="122">
        <f>'plateau 4'!S15</f>
        <v>158</v>
      </c>
      <c r="T55" s="122">
        <f>'plateau 4'!T15</f>
        <v>288</v>
      </c>
      <c r="U55" s="122" t="str">
        <f>'plateau 4'!U15</f>
        <v>NAT + 1</v>
      </c>
      <c r="V55" s="122" t="str">
        <f>'plateau 4'!V15</f>
        <v>SE M89</v>
      </c>
      <c r="W55" s="122">
        <f>'plateau 4'!W15</f>
        <v>352.78076309536038</v>
      </c>
      <c r="X55" s="82"/>
      <c r="Y55" s="80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</row>
    <row r="56" spans="2:88" s="4" customFormat="1" ht="30" customHeight="1" x14ac:dyDescent="0.25">
      <c r="B56" s="122">
        <f>'plateau 4'!B16</f>
        <v>120</v>
      </c>
      <c r="C56" s="122">
        <f>'plateau 4'!C16</f>
        <v>0</v>
      </c>
      <c r="D56" s="122">
        <f>'plateau 4'!D16</f>
        <v>0</v>
      </c>
      <c r="E56" s="122" t="str">
        <f>'plateau 4'!E16</f>
        <v>H</v>
      </c>
      <c r="F56" s="122" t="str">
        <f>'plateau 4'!F16</f>
        <v>SHOLOMINSKYI</v>
      </c>
      <c r="G56" s="122" t="str">
        <f>'plateau 4'!G16</f>
        <v>Vitalii</v>
      </c>
      <c r="H56" s="122">
        <f>'plateau 4'!H16</f>
        <v>2007</v>
      </c>
      <c r="I56" s="122" t="str">
        <f>'plateau 4'!I16</f>
        <v>Ukraine</v>
      </c>
      <c r="J56" s="122" t="str">
        <f>'plateau 4'!J16</f>
        <v>UKR</v>
      </c>
      <c r="K56" s="122">
        <f>'plateau 4'!K16</f>
        <v>84.55</v>
      </c>
      <c r="L56" s="122">
        <f>'plateau 4'!L16</f>
        <v>105</v>
      </c>
      <c r="M56" s="122">
        <f>'plateau 4'!M16</f>
        <v>112</v>
      </c>
      <c r="N56" s="122">
        <f>'plateau 4'!N16</f>
        <v>118</v>
      </c>
      <c r="O56" s="122">
        <f>'plateau 4'!O16</f>
        <v>118</v>
      </c>
      <c r="P56" s="122">
        <f>'plateau 4'!P16</f>
        <v>120</v>
      </c>
      <c r="Q56" s="122">
        <f>'plateau 4'!Q16</f>
        <v>130</v>
      </c>
      <c r="R56" s="122">
        <f>'plateau 4'!R16</f>
        <v>-140</v>
      </c>
      <c r="S56" s="122">
        <f>'plateau 4'!S16</f>
        <v>130</v>
      </c>
      <c r="T56" s="122">
        <f>'plateau 4'!T16</f>
        <v>248</v>
      </c>
      <c r="U56" s="122" t="str">
        <f>'plateau 4'!U16</f>
        <v>INTB + 3</v>
      </c>
      <c r="V56" s="122" t="str">
        <f>'plateau 4'!V16</f>
        <v>U17 M89</v>
      </c>
      <c r="W56" s="122">
        <f>'plateau 4'!W16</f>
        <v>307.62658155259425</v>
      </c>
      <c r="X56" s="82"/>
      <c r="Y56" s="80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</row>
    <row r="57" spans="2:88" s="4" customFormat="1" ht="30" customHeight="1" x14ac:dyDescent="0.25">
      <c r="B57" s="122">
        <f>'plateau 4'!B17</f>
        <v>121</v>
      </c>
      <c r="C57" s="122">
        <f>'plateau 4'!C17</f>
        <v>0</v>
      </c>
      <c r="D57" s="122">
        <f>'plateau 4'!D17</f>
        <v>0</v>
      </c>
      <c r="E57" s="122" t="str">
        <f>'plateau 4'!E17</f>
        <v>H</v>
      </c>
      <c r="F57" s="122" t="str">
        <f>'plateau 4'!F17</f>
        <v>SUNGU</v>
      </c>
      <c r="G57" s="122" t="str">
        <f>'plateau 4'!G17</f>
        <v>Burak</v>
      </c>
      <c r="H57" s="122">
        <f>'plateau 4'!H17</f>
        <v>1997</v>
      </c>
      <c r="I57" s="122" t="str">
        <f>'plateau 4'!I17</f>
        <v>Belgique 1</v>
      </c>
      <c r="J57" s="122" t="str">
        <f>'plateau 4'!J17</f>
        <v>BEL</v>
      </c>
      <c r="K57" s="122">
        <f>'plateau 4'!K17</f>
        <v>97.35</v>
      </c>
      <c r="L57" s="122">
        <f>'plateau 4'!L17</f>
        <v>145</v>
      </c>
      <c r="M57" s="122">
        <f>'plateau 4'!M17</f>
        <v>150</v>
      </c>
      <c r="N57" s="122">
        <f>'plateau 4'!N17</f>
        <v>154</v>
      </c>
      <c r="O57" s="122">
        <f>'plateau 4'!O17</f>
        <v>154</v>
      </c>
      <c r="P57" s="122">
        <f>'plateau 4'!P17</f>
        <v>168</v>
      </c>
      <c r="Q57" s="122">
        <f>'plateau 4'!Q17</f>
        <v>175</v>
      </c>
      <c r="R57" s="122">
        <f>'plateau 4'!R17</f>
        <v>-180</v>
      </c>
      <c r="S57" s="122">
        <f>'plateau 4'!S17</f>
        <v>175</v>
      </c>
      <c r="T57" s="122">
        <f>'plateau 4'!T17</f>
        <v>329</v>
      </c>
      <c r="U57" s="122" t="str">
        <f>'plateau 4'!U17</f>
        <v>NAT + 27</v>
      </c>
      <c r="V57" s="122" t="str">
        <f>'plateau 4'!V17</f>
        <v>SE M102</v>
      </c>
      <c r="W57" s="122">
        <f>'plateau 4'!W17</f>
        <v>381.62281080213785</v>
      </c>
      <c r="X57" s="82"/>
      <c r="Y57" s="80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</row>
    <row r="58" spans="2:88" s="4" customFormat="1" ht="30" customHeight="1" x14ac:dyDescent="0.25">
      <c r="B58" s="122">
        <f>'plateau 4'!B18</f>
        <v>122</v>
      </c>
      <c r="C58" s="122">
        <f>'plateau 4'!C18</f>
        <v>0</v>
      </c>
      <c r="D58" s="122">
        <f>'plateau 4'!D18</f>
        <v>0</v>
      </c>
      <c r="E58" s="122" t="str">
        <f>'plateau 4'!E18</f>
        <v>H</v>
      </c>
      <c r="F58" s="122" t="str">
        <f>'plateau 4'!F18</f>
        <v>IMADOUCHENE</v>
      </c>
      <c r="G58" s="122" t="str">
        <f>'plateau 4'!G18</f>
        <v>Romain</v>
      </c>
      <c r="H58" s="122">
        <f>'plateau 4'!H18</f>
        <v>1995</v>
      </c>
      <c r="I58" s="122" t="str">
        <f>'plateau 4'!I18</f>
        <v>Nord</v>
      </c>
      <c r="J58" s="122" t="str">
        <f>'plateau 4'!J18</f>
        <v>FR</v>
      </c>
      <c r="K58" s="122">
        <f>'plateau 4'!K18</f>
        <v>96.25</v>
      </c>
      <c r="L58" s="122">
        <f>'plateau 4'!L18</f>
        <v>-150</v>
      </c>
      <c r="M58" s="122">
        <f>'plateau 4'!M18</f>
        <v>150</v>
      </c>
      <c r="N58" s="122">
        <f>'plateau 4'!N18</f>
        <v>0</v>
      </c>
      <c r="O58" s="122">
        <f>'plateau 4'!O18</f>
        <v>150</v>
      </c>
      <c r="P58" s="122">
        <f>'plateau 4'!P18</f>
        <v>185</v>
      </c>
      <c r="Q58" s="122">
        <f>'plateau 4'!Q18</f>
        <v>-190</v>
      </c>
      <c r="R58" s="122">
        <f>'plateau 4'!R18</f>
        <v>0</v>
      </c>
      <c r="S58" s="122">
        <f>'plateau 4'!S18</f>
        <v>185</v>
      </c>
      <c r="T58" s="122">
        <f>'plateau 4'!T18</f>
        <v>335</v>
      </c>
      <c r="U58" s="122" t="str">
        <f>'plateau 4'!U18</f>
        <v>NAT + 33</v>
      </c>
      <c r="V58" s="122" t="str">
        <f>'plateau 4'!V18</f>
        <v>SE M102</v>
      </c>
      <c r="W58" s="122">
        <f>'plateau 4'!W18</f>
        <v>390.508931511279</v>
      </c>
      <c r="X58" s="82"/>
      <c r="Y58" s="80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</row>
    <row r="59" spans="2:88" s="4" customFormat="1" ht="30" customHeight="1" x14ac:dyDescent="0.25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82"/>
      <c r="Y59" s="80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</row>
    <row r="60" spans="2:88" s="4" customFormat="1" ht="30" customHeight="1" x14ac:dyDescent="0.25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82"/>
      <c r="Y60" s="80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</row>
    <row r="61" spans="2:88" s="4" customFormat="1" ht="30" customHeight="1" x14ac:dyDescent="0.25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82"/>
      <c r="Y61" s="80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</row>
    <row r="62" spans="2:88" ht="24" customHeight="1" x14ac:dyDescent="0.25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58"/>
    </row>
    <row r="63" spans="2:88" ht="24" customHeight="1" x14ac:dyDescent="0.25">
      <c r="B63" s="116"/>
      <c r="C63" s="116"/>
      <c r="D63" s="122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</row>
  </sheetData>
  <mergeCells count="5">
    <mergeCell ref="D2:W2"/>
    <mergeCell ref="D3:K3"/>
    <mergeCell ref="N3:S3"/>
    <mergeCell ref="V3:W3"/>
    <mergeCell ref="B7:W7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51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T25"/>
  <sheetViews>
    <sheetView topLeftCell="A4" zoomScale="83" zoomScaleNormal="83" zoomScaleSheetLayoutView="100" workbookViewId="0">
      <selection activeCell="G11" sqref="G11"/>
    </sheetView>
  </sheetViews>
  <sheetFormatPr baseColWidth="10" defaultColWidth="11.44140625" defaultRowHeight="15.6" x14ac:dyDescent="0.25"/>
  <cols>
    <col min="1" max="1" width="1.6640625" style="1" customWidth="1"/>
    <col min="2" max="2" width="5.6640625" style="1" customWidth="1"/>
    <col min="3" max="3" width="9.6640625" style="1" customWidth="1"/>
    <col min="4" max="4" width="6.6640625" style="73" customWidth="1"/>
    <col min="5" max="5" width="6.6640625" style="1" customWidth="1"/>
    <col min="6" max="6" width="16.33203125" style="1" bestFit="1" customWidth="1"/>
    <col min="7" max="7" width="24.33203125" style="1" customWidth="1"/>
    <col min="8" max="8" width="5.88671875" style="61" customWidth="1"/>
    <col min="9" max="9" width="37.109375" style="66" bestFit="1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hidden="1" customWidth="1"/>
    <col min="22" max="22" width="12" style="69" hidden="1" customWidth="1"/>
    <col min="23" max="23" width="11.33203125" style="1" customWidth="1"/>
    <col min="24" max="24" width="20.6640625" style="3" customWidth="1"/>
    <col min="25" max="25" width="41" style="3" customWidth="1"/>
    <col min="26" max="26" width="32.109375" style="3" customWidth="1"/>
    <col min="27" max="27" width="13.88671875" style="3" hidden="1" customWidth="1"/>
    <col min="28" max="40" width="11.44140625" style="22" hidden="1" customWidth="1"/>
    <col min="41" max="107" width="11.44140625" style="22"/>
    <col min="108" max="16384" width="11.44140625" style="1"/>
  </cols>
  <sheetData>
    <row r="1" spans="1:124" ht="5.0999999999999996" customHeight="1" x14ac:dyDescent="0.25"/>
    <row r="2" spans="1:124" s="7" customFormat="1" ht="30" customHeight="1" x14ac:dyDescent="0.25">
      <c r="D2" s="346" t="s">
        <v>127</v>
      </c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8"/>
      <c r="X2" s="55"/>
      <c r="Y2" s="55"/>
      <c r="Z2" s="55"/>
      <c r="AA2" s="5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</row>
    <row r="3" spans="1:124" s="7" customFormat="1" ht="30" customHeight="1" x14ac:dyDescent="0.25">
      <c r="D3" s="355" t="s">
        <v>262</v>
      </c>
      <c r="E3" s="349"/>
      <c r="F3" s="349"/>
      <c r="G3" s="349"/>
      <c r="H3" s="349"/>
      <c r="I3" s="349"/>
      <c r="J3" s="349"/>
      <c r="K3" s="349"/>
      <c r="L3" s="349"/>
      <c r="M3" s="349"/>
      <c r="N3" s="349" t="s">
        <v>128</v>
      </c>
      <c r="O3" s="349"/>
      <c r="P3" s="349"/>
      <c r="Q3" s="349"/>
      <c r="R3" s="349"/>
      <c r="S3" s="349"/>
      <c r="T3" s="63"/>
      <c r="U3" s="70"/>
      <c r="V3" s="350">
        <v>46193</v>
      </c>
      <c r="W3" s="351"/>
      <c r="X3" s="55"/>
      <c r="Y3" s="55"/>
      <c r="Z3" s="55"/>
      <c r="AA3" s="55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</row>
    <row r="4" spans="1:124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56"/>
      <c r="AA4" s="56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</row>
    <row r="5" spans="1:124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135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64"/>
      <c r="AA5" s="65"/>
      <c r="AB5" s="48" t="s">
        <v>105</v>
      </c>
      <c r="AC5" s="48" t="s">
        <v>106</v>
      </c>
      <c r="AD5" s="48" t="s">
        <v>107</v>
      </c>
      <c r="AE5" s="48" t="s">
        <v>108</v>
      </c>
      <c r="AF5" s="48" t="s">
        <v>109</v>
      </c>
      <c r="AG5" s="48" t="s">
        <v>110</v>
      </c>
      <c r="AH5" s="48" t="s">
        <v>111</v>
      </c>
      <c r="AI5" s="48" t="s">
        <v>112</v>
      </c>
      <c r="AJ5" s="48" t="s">
        <v>113</v>
      </c>
      <c r="AK5" s="44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</row>
    <row r="6" spans="1:124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56"/>
      <c r="AA6" s="56"/>
      <c r="AB6" s="45" t="s">
        <v>114</v>
      </c>
      <c r="AC6" s="45" t="s">
        <v>115</v>
      </c>
      <c r="AD6" s="45" t="s">
        <v>107</v>
      </c>
      <c r="AE6" s="45" t="s">
        <v>108</v>
      </c>
      <c r="AF6" s="45" t="s">
        <v>109</v>
      </c>
      <c r="AG6" s="45" t="s">
        <v>110</v>
      </c>
      <c r="AH6" s="45" t="s">
        <v>111</v>
      </c>
      <c r="AI6" s="45" t="s">
        <v>112</v>
      </c>
      <c r="AJ6" s="45" t="s">
        <v>113</v>
      </c>
      <c r="AK6" s="45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</row>
    <row r="7" spans="1:124" s="4" customFormat="1" ht="30" customHeight="1" x14ac:dyDescent="0.25">
      <c r="B7" s="188">
        <v>101</v>
      </c>
      <c r="C7" s="189"/>
      <c r="D7" s="190"/>
      <c r="E7" s="191" t="s">
        <v>133</v>
      </c>
      <c r="F7" s="300" t="s">
        <v>192</v>
      </c>
      <c r="G7" s="300" t="s">
        <v>193</v>
      </c>
      <c r="H7" s="300">
        <v>2010</v>
      </c>
      <c r="I7" s="300" t="s">
        <v>181</v>
      </c>
      <c r="J7" s="191" t="s">
        <v>270</v>
      </c>
      <c r="K7" s="194">
        <v>58.55</v>
      </c>
      <c r="L7" s="195">
        <v>-75</v>
      </c>
      <c r="M7" s="195">
        <v>-75</v>
      </c>
      <c r="N7" s="195">
        <v>-75</v>
      </c>
      <c r="O7" s="279">
        <f t="shared" ref="O7:O21" si="0">IF(E7="","",IF(MAXA(L7:N7)&lt;=0,0,MAXA(L7:N7)))</f>
        <v>0</v>
      </c>
      <c r="P7" s="195">
        <v>-80</v>
      </c>
      <c r="Q7" s="195">
        <v>80</v>
      </c>
      <c r="R7" s="315">
        <v>0</v>
      </c>
      <c r="S7" s="196">
        <f t="shared" ref="S7" si="1">IF(E7="","",IF(MAXA(P7:R7)&lt;=0,0,MAXA(P7:R7)))</f>
        <v>80</v>
      </c>
      <c r="T7" s="197">
        <v>80</v>
      </c>
      <c r="U7" s="198" t="e">
        <f t="shared" ref="U7" si="2">+CONCATENATE(AM7," ",AN7)</f>
        <v>#N/A</v>
      </c>
      <c r="V7" s="199" t="str">
        <f>IF(E7=0," ",IF(E7="H",IF(H7&lt;=SENIORS_Min,VLOOKUP(K7,Minimas!$A$15:$F$29,6),IF(AND(H7&gt;=U20_Min,H7&lt;=U20_Max),VLOOKUP(K7,Minimas!$A$15:$F$29,5),IF(AND(H7&gt;=U17_Min,H7&lt;=U17_Max),VLOOKUP(K7,Minimas!$A$15:$F$29,4),IF(AND(H7&gt;=U15_Min,H7&lt;=U15_Max),VLOOKUP(K7,Minimas!$A$15:$F$29,3),VLOOKUP(K7,Minimas!$A$15:$F$29,2))))),IF(H7&lt;=SENIORS_Min,VLOOKUP(K7,Minimas!$G$15:$L$29,6),IF(AND(H7&gt;=U20_Min,H7&lt;=U20_Max),VLOOKUP(K7,Minimas!$G$15:$L$29,5),IF(AND(H7&gt;=U17_Min,H7&lt;=U17_Max),VLOOKUP(K7,Minimas!$G$15:$L$29,4),IF(AND(H7&gt;=U15_Min,H7&lt;=U15_Max),VLOOKUP(K7,Minimas!$G$15:$L$29,3),VLOOKUP(K7,Minimas!$G$15:$L$29,2)))))))</f>
        <v>NON</v>
      </c>
      <c r="W7" s="200">
        <f t="shared" ref="W7" si="3">IF(E7=" "," ",IF(E7="H",10^(0.722762521*LOG(K7/193.609)^2)*T7,IF(E7="F",10^(0.787004341* LOG(K7/153.757)^2)*T7,"")))</f>
        <v>125.33524368952713</v>
      </c>
      <c r="X7" s="82"/>
      <c r="Y7" s="80"/>
      <c r="Z7" s="80"/>
      <c r="AA7" s="57"/>
      <c r="AB7" s="46" t="e">
        <f>T7-HLOOKUP(V7,Minimas!$C$3:$CD$12,2,FALSE)</f>
        <v>#N/A</v>
      </c>
      <c r="AC7" s="46" t="e">
        <f>T7-HLOOKUP(V7,Minimas!$C$3:$CD$12,3,FALSE)</f>
        <v>#N/A</v>
      </c>
      <c r="AD7" s="46" t="e">
        <f>T7-HLOOKUP(V7,Minimas!$C$3:$CD$12,4,FALSE)</f>
        <v>#N/A</v>
      </c>
      <c r="AE7" s="46" t="e">
        <f>T7-HLOOKUP(V7,Minimas!$C$3:$CD$12,5,FALSE)</f>
        <v>#N/A</v>
      </c>
      <c r="AF7" s="46" t="e">
        <f>T7-HLOOKUP(V7,Minimas!$C$3:$CD$12,6,FALSE)</f>
        <v>#N/A</v>
      </c>
      <c r="AG7" s="46" t="e">
        <f>T7-HLOOKUP(V7,Minimas!$C$3:$CD$12,7,FALSE)</f>
        <v>#N/A</v>
      </c>
      <c r="AH7" s="46" t="e">
        <f>T7-HLOOKUP(V7,Minimas!$C$3:$CD$12,8,FALSE)</f>
        <v>#N/A</v>
      </c>
      <c r="AI7" s="46" t="e">
        <f>T7-HLOOKUP(V7,Minimas!$C$3:$CD$12,9,FALSE)</f>
        <v>#N/A</v>
      </c>
      <c r="AJ7" s="46" t="e">
        <f>T7-HLOOKUP(V7,Minimas!$C$3:$CD$12,10,FALSE)</f>
        <v>#N/A</v>
      </c>
      <c r="AK7" s="47" t="e">
        <f t="shared" ref="AK7:AK23" si="4">IF(E7=0," ",IF(AJ7&gt;=0,$AJ$5,IF(AI7&gt;=0,$AI$5,IF(AH7&gt;=0,$AH$5,IF(AG7&gt;=0,$AG$5,IF(AF7&gt;=0,$AF$5,IF(AE7&gt;=0,$AE$5,IF(AD7&gt;=0,$AD$5,IF(AC7&gt;=0,$AC$5,$AB$5)))))))))</f>
        <v>#N/A</v>
      </c>
      <c r="AL7" s="47"/>
      <c r="AM7" s="47" t="e">
        <f t="shared" ref="AM7:AM22" si="5">IF(AK7="","",AK7)</f>
        <v>#N/A</v>
      </c>
      <c r="AN7" s="47" t="e">
        <f t="shared" ref="AN7:AN23" si="6">IF(E7=0," ",IF(AJ7&gt;=0,AJ7,IF(AI7&gt;=0,AI7,IF(AH7&gt;=0,AH7,IF(AG7&gt;=0,AG7,IF(AF7&gt;=0,AF7,IF(AE7&gt;=0,AE7,IF(AD7&gt;=0,AD7,IF(AC7&gt;=0,AC7,AB7)))))))))</f>
        <v>#N/A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</row>
    <row r="8" spans="1:124" s="4" customFormat="1" ht="30" customHeight="1" x14ac:dyDescent="0.25">
      <c r="B8" s="188">
        <v>102</v>
      </c>
      <c r="C8" s="189"/>
      <c r="D8" s="190"/>
      <c r="E8" s="191" t="s">
        <v>133</v>
      </c>
      <c r="F8" s="301" t="s">
        <v>194</v>
      </c>
      <c r="G8" s="301" t="s">
        <v>195</v>
      </c>
      <c r="H8" s="301">
        <v>2007</v>
      </c>
      <c r="I8" s="301" t="s">
        <v>172</v>
      </c>
      <c r="J8" s="191" t="s">
        <v>270</v>
      </c>
      <c r="K8" s="194">
        <v>63.75</v>
      </c>
      <c r="L8" s="195">
        <v>60</v>
      </c>
      <c r="M8" s="195">
        <v>65</v>
      </c>
      <c r="N8" s="195">
        <v>-71</v>
      </c>
      <c r="O8" s="279">
        <f t="shared" si="0"/>
        <v>65</v>
      </c>
      <c r="P8" s="195">
        <v>85</v>
      </c>
      <c r="Q8" s="195">
        <v>90</v>
      </c>
      <c r="R8" s="195">
        <v>-95</v>
      </c>
      <c r="S8" s="196">
        <f t="shared" ref="S8:S17" si="7">IF(E8="","",IF(MAXA(P8:R8)&lt;=0,0,MAXA(P8:R8)))</f>
        <v>90</v>
      </c>
      <c r="T8" s="197">
        <f t="shared" ref="T8:T21" si="8">IF(E8="","",IF(OR(O8=0,S8=0),0,O8+S8))</f>
        <v>155</v>
      </c>
      <c r="U8" s="198" t="str">
        <f t="shared" ref="U8:U21" si="9">+CONCATENATE(AM8," ",AN8)</f>
        <v>IRG + 5</v>
      </c>
      <c r="V8" s="199" t="str">
        <f>IF(E8=0," ",IF(E8="H",IF(H8&lt;=SENIORS_Min,VLOOKUP(K8,Minimas!$A$15:$F$29,6),IF(AND(H8&gt;=U20_Min,H8&lt;=U20_Max),VLOOKUP(K8,Minimas!$A$15:$F$29,5),IF(AND(H8&gt;=U17_Min,H8&lt;=U17_Max),VLOOKUP(K8,Minimas!$A$15:$F$29,4),IF(AND(H8&gt;=U15_Min,H8&lt;=U15_Max),VLOOKUP(K8,Minimas!$A$15:$F$29,3),VLOOKUP(K8,Minimas!$A$15:$F$29,2))))),IF(H8&lt;=SENIORS_Min,VLOOKUP(K8,Minimas!$G$15:$L$29,6),IF(AND(H8&gt;=U20_Min,H8&lt;=U20_Max),VLOOKUP(K8,Minimas!$G$15:$L$29,5),IF(AND(H8&gt;=U17_Min,H8&lt;=U17_Max),VLOOKUP(K8,Minimas!$G$15:$L$29,4),IF(AND(H8&gt;=U15_Min,H8&lt;=U15_Max),VLOOKUP(K8,Minimas!$G$15:$L$29,3),VLOOKUP(K8,Minimas!$G$15:$L$29,2)))))))</f>
        <v>U17 M67</v>
      </c>
      <c r="W8" s="200">
        <f t="shared" ref="W8:W21" si="10">IF(E8=" "," ",IF(E8="H",10^(0.722762521*LOG(K8/193.609)^2)*T8,IF(E8="F",10^(0.787004341* LOG(K8/153.757)^2)*T8,"")))</f>
        <v>228.32697233646488</v>
      </c>
      <c r="X8" s="82"/>
      <c r="Y8" s="80"/>
      <c r="Z8" s="80"/>
      <c r="AA8" s="57"/>
      <c r="AB8" s="46">
        <f>T8-HLOOKUP(V8,Minimas!$C$3:$CD$12,2,FALSE)</f>
        <v>65</v>
      </c>
      <c r="AC8" s="46">
        <f>T8-HLOOKUP(V8,Minimas!$C$3:$CD$12,3,FALSE)</f>
        <v>45</v>
      </c>
      <c r="AD8" s="46">
        <f>T8-HLOOKUP(V8,Minimas!$C$3:$CD$12,4,FALSE)</f>
        <v>25</v>
      </c>
      <c r="AE8" s="46">
        <f>T8-HLOOKUP(V8,Minimas!$C$3:$CD$12,5,FALSE)</f>
        <v>5</v>
      </c>
      <c r="AF8" s="46">
        <f>T8-HLOOKUP(V8,Minimas!$C$3:$CD$12,6,FALSE)</f>
        <v>-15</v>
      </c>
      <c r="AG8" s="46">
        <f>T8-HLOOKUP(V8,Minimas!$C$3:$CD$12,7,FALSE)</f>
        <v>-35</v>
      </c>
      <c r="AH8" s="46">
        <f>T8-HLOOKUP(V8,Minimas!$C$3:$CD$12,8,FALSE)</f>
        <v>-60</v>
      </c>
      <c r="AI8" s="46">
        <f>T8-HLOOKUP(V8,Minimas!$C$3:$CD$12,9,FALSE)</f>
        <v>-80</v>
      </c>
      <c r="AJ8" s="46">
        <f>T8-HLOOKUP(V8,Minimas!$C$3:$CD$12,10,FALSE)</f>
        <v>-9844</v>
      </c>
      <c r="AK8" s="47" t="str">
        <f t="shared" si="4"/>
        <v>IRG +</v>
      </c>
      <c r="AL8" s="47"/>
      <c r="AM8" s="47" t="str">
        <f t="shared" si="5"/>
        <v>IRG +</v>
      </c>
      <c r="AN8" s="47">
        <f t="shared" si="6"/>
        <v>5</v>
      </c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</row>
    <row r="9" spans="1:124" s="4" customFormat="1" ht="30" customHeight="1" x14ac:dyDescent="0.25">
      <c r="B9" s="188">
        <v>103</v>
      </c>
      <c r="C9" s="189"/>
      <c r="D9" s="190"/>
      <c r="E9" s="191" t="s">
        <v>133</v>
      </c>
      <c r="F9" s="298" t="s">
        <v>170</v>
      </c>
      <c r="G9" s="298" t="s">
        <v>196</v>
      </c>
      <c r="H9" s="298">
        <v>2011</v>
      </c>
      <c r="I9" s="300" t="s">
        <v>172</v>
      </c>
      <c r="J9" s="191" t="s">
        <v>270</v>
      </c>
      <c r="K9" s="194">
        <v>69.25</v>
      </c>
      <c r="L9" s="195">
        <v>90</v>
      </c>
      <c r="M9" s="195">
        <v>95</v>
      </c>
      <c r="N9" s="195">
        <v>97</v>
      </c>
      <c r="O9" s="279">
        <f t="shared" si="0"/>
        <v>97</v>
      </c>
      <c r="P9" s="195">
        <v>100</v>
      </c>
      <c r="Q9" s="195">
        <v>-105</v>
      </c>
      <c r="R9" s="195">
        <v>-110</v>
      </c>
      <c r="S9" s="196">
        <f t="shared" si="7"/>
        <v>100</v>
      </c>
      <c r="T9" s="197">
        <f t="shared" si="8"/>
        <v>197</v>
      </c>
      <c r="U9" s="198" t="e">
        <f t="shared" si="9"/>
        <v>#N/A</v>
      </c>
      <c r="V9" s="199" t="str">
        <f>IF(E9=0," ",IF(E9="H",IF(H9&lt;=SENIORS_Min,VLOOKUP(K9,Minimas!$A$15:$F$29,6),IF(AND(H9&gt;=U20_Min,H9&lt;=U20_Max),VLOOKUP(K9,Minimas!$A$15:$F$29,5),IF(AND(H9&gt;=U17_Min,H9&lt;=U17_Max),VLOOKUP(K9,Minimas!$A$15:$F$29,4),IF(AND(H9&gt;=U15_Min,H9&lt;=U15_Max),VLOOKUP(K9,Minimas!$A$15:$F$29,3),VLOOKUP(K9,Minimas!$A$15:$F$29,2))))),IF(H9&lt;=SENIORS_Min,VLOOKUP(K9,Minimas!$G$15:$L$29,6),IF(AND(H9&gt;=U20_Min,H9&lt;=U20_Max),VLOOKUP(K9,Minimas!$G$15:$L$29,5),IF(AND(H9&gt;=U17_Min,H9&lt;=U17_Max),VLOOKUP(K9,Minimas!$G$15:$L$29,4),IF(AND(H9&gt;=U15_Min,H9&lt;=U15_Max),VLOOKUP(K9,Minimas!$G$15:$L$29,3),VLOOKUP(K9,Minimas!$G$15:$L$29,2)))))))</f>
        <v>NON</v>
      </c>
      <c r="W9" s="200">
        <f t="shared" si="10"/>
        <v>274.5121105872276</v>
      </c>
      <c r="X9" s="82"/>
      <c r="Y9" s="80"/>
      <c r="Z9" s="80"/>
      <c r="AA9" s="57"/>
      <c r="AB9" s="46" t="e">
        <f>T9-HLOOKUP(V9,Minimas!$C$3:$CD$12,2,FALSE)</f>
        <v>#N/A</v>
      </c>
      <c r="AC9" s="46" t="e">
        <f>T9-HLOOKUP(V9,Minimas!$C$3:$CD$12,3,FALSE)</f>
        <v>#N/A</v>
      </c>
      <c r="AD9" s="46" t="e">
        <f>T9-HLOOKUP(V9,Minimas!$C$3:$CD$12,4,FALSE)</f>
        <v>#N/A</v>
      </c>
      <c r="AE9" s="46" t="e">
        <f>T9-HLOOKUP(V9,Minimas!$C$3:$CD$12,5,FALSE)</f>
        <v>#N/A</v>
      </c>
      <c r="AF9" s="46" t="e">
        <f>T9-HLOOKUP(V9,Minimas!$C$3:$CD$12,6,FALSE)</f>
        <v>#N/A</v>
      </c>
      <c r="AG9" s="46" t="e">
        <f>T9-HLOOKUP(V9,Minimas!$C$3:$CD$12,7,FALSE)</f>
        <v>#N/A</v>
      </c>
      <c r="AH9" s="46" t="e">
        <f>T9-HLOOKUP(V9,Minimas!$C$3:$CD$12,8,FALSE)</f>
        <v>#N/A</v>
      </c>
      <c r="AI9" s="46" t="e">
        <f>T9-HLOOKUP(V9,Minimas!$C$3:$CD$12,9,FALSE)</f>
        <v>#N/A</v>
      </c>
      <c r="AJ9" s="46" t="e">
        <f>T9-HLOOKUP(V9,Minimas!$C$3:$CD$12,10,FALSE)</f>
        <v>#N/A</v>
      </c>
      <c r="AK9" s="47" t="e">
        <f t="shared" si="4"/>
        <v>#N/A</v>
      </c>
      <c r="AL9" s="47"/>
      <c r="AM9" s="47" t="e">
        <f t="shared" si="5"/>
        <v>#N/A</v>
      </c>
      <c r="AN9" s="47" t="e">
        <f t="shared" si="6"/>
        <v>#N/A</v>
      </c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</row>
    <row r="10" spans="1:124" s="4" customFormat="1" ht="30" customHeight="1" x14ac:dyDescent="0.25">
      <c r="B10" s="188">
        <v>104</v>
      </c>
      <c r="C10" s="189"/>
      <c r="D10" s="190"/>
      <c r="E10" s="191" t="s">
        <v>133</v>
      </c>
      <c r="F10" s="300" t="s">
        <v>197</v>
      </c>
      <c r="G10" s="300" t="s">
        <v>198</v>
      </c>
      <c r="H10" s="300">
        <v>2005</v>
      </c>
      <c r="I10" s="300" t="s">
        <v>178</v>
      </c>
      <c r="J10" s="191" t="s">
        <v>270</v>
      </c>
      <c r="K10" s="194">
        <v>58.55</v>
      </c>
      <c r="L10" s="195">
        <v>70</v>
      </c>
      <c r="M10" s="195">
        <v>75</v>
      </c>
      <c r="N10" s="195">
        <v>80</v>
      </c>
      <c r="O10" s="279">
        <f t="shared" si="0"/>
        <v>80</v>
      </c>
      <c r="P10" s="195">
        <v>-100</v>
      </c>
      <c r="Q10" s="195">
        <v>100</v>
      </c>
      <c r="R10" s="195">
        <v>-105</v>
      </c>
      <c r="S10" s="196">
        <f t="shared" si="7"/>
        <v>100</v>
      </c>
      <c r="T10" s="197">
        <f t="shared" si="8"/>
        <v>180</v>
      </c>
      <c r="U10" s="198" t="str">
        <f t="shared" si="9"/>
        <v>FED + 10</v>
      </c>
      <c r="V10" s="199" t="str">
        <f>IF(E10=0," ",IF(E10="H",IF(H10&lt;=SENIORS_Min,VLOOKUP(K10,Minimas!$A$15:$F$29,6),IF(AND(H10&gt;=U20_Min,H10&lt;=U20_Max),VLOOKUP(K10,Minimas!$A$15:$F$29,5),IF(AND(H10&gt;=U17_Min,H10&lt;=U17_Max),VLOOKUP(K10,Minimas!$A$15:$F$29,4),IF(AND(H10&gt;=U15_Min,H10&lt;=U15_Max),VLOOKUP(K10,Minimas!$A$15:$F$29,3),VLOOKUP(K10,Minimas!$A$15:$F$29,2))))),IF(H10&lt;=SENIORS_Min,VLOOKUP(K10,Minimas!$G$15:$L$29,6),IF(AND(H10&gt;=U20_Min,H10&lt;=U20_Max),VLOOKUP(K10,Minimas!$G$15:$L$29,5),IF(AND(H10&gt;=U17_Min,H10&lt;=U17_Max),VLOOKUP(K10,Minimas!$G$15:$L$29,4),IF(AND(H10&gt;=U15_Min,H10&lt;=U15_Max),VLOOKUP(K10,Minimas!$G$15:$L$29,3),VLOOKUP(K10,Minimas!$G$15:$L$29,2)))))))</f>
        <v>U20 M61</v>
      </c>
      <c r="W10" s="200">
        <f t="shared" si="10"/>
        <v>282.00429830143605</v>
      </c>
      <c r="X10" s="81"/>
      <c r="Y10" s="75"/>
      <c r="Z10" s="75"/>
      <c r="AA10" s="57"/>
      <c r="AB10" s="46">
        <f>T10-HLOOKUP(V10,Minimas!$C$3:$CD$12,2,FALSE)</f>
        <v>85</v>
      </c>
      <c r="AC10" s="46">
        <f>T10-HLOOKUP(V10,Minimas!$C$3:$CD$12,3,FALSE)</f>
        <v>65</v>
      </c>
      <c r="AD10" s="46">
        <f>T10-HLOOKUP(V10,Minimas!$C$3:$CD$12,4,FALSE)</f>
        <v>50</v>
      </c>
      <c r="AE10" s="46">
        <f>T10-HLOOKUP(V10,Minimas!$C$3:$CD$12,5,FALSE)</f>
        <v>30</v>
      </c>
      <c r="AF10" s="46">
        <f>T10-HLOOKUP(V10,Minimas!$C$3:$CD$12,6,FALSE)</f>
        <v>10</v>
      </c>
      <c r="AG10" s="46">
        <f>T10-HLOOKUP(V10,Minimas!$C$3:$CD$12,7,FALSE)</f>
        <v>-10</v>
      </c>
      <c r="AH10" s="46">
        <f>T10-HLOOKUP(V10,Minimas!$C$3:$CD$12,8,FALSE)</f>
        <v>-40</v>
      </c>
      <c r="AI10" s="46">
        <f>T10-HLOOKUP(V10,Minimas!$C$3:$CD$12,9,FALSE)</f>
        <v>-65</v>
      </c>
      <c r="AJ10" s="46">
        <f>T10-HLOOKUP(V10,Minimas!$C$3:$CD$12,10,FALSE)</f>
        <v>-9819</v>
      </c>
      <c r="AK10" s="47" t="str">
        <f t="shared" si="4"/>
        <v>FED +</v>
      </c>
      <c r="AL10" s="47"/>
      <c r="AM10" s="47" t="str">
        <f t="shared" si="5"/>
        <v>FED +</v>
      </c>
      <c r="AN10" s="47">
        <f t="shared" si="6"/>
        <v>10</v>
      </c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</row>
    <row r="11" spans="1:124" s="4" customFormat="1" ht="30" customHeight="1" x14ac:dyDescent="0.25">
      <c r="B11" s="188">
        <v>105</v>
      </c>
      <c r="C11" s="189"/>
      <c r="D11" s="190"/>
      <c r="E11" s="191" t="s">
        <v>133</v>
      </c>
      <c r="F11" s="302" t="s">
        <v>199</v>
      </c>
      <c r="G11" s="302" t="s">
        <v>200</v>
      </c>
      <c r="H11" s="302">
        <v>1994</v>
      </c>
      <c r="I11" s="300" t="s">
        <v>188</v>
      </c>
      <c r="J11" s="191" t="s">
        <v>270</v>
      </c>
      <c r="K11" s="194">
        <v>68.650000000000006</v>
      </c>
      <c r="L11" s="195">
        <v>88</v>
      </c>
      <c r="M11" s="195">
        <v>92</v>
      </c>
      <c r="N11" s="195">
        <v>-96</v>
      </c>
      <c r="O11" s="279">
        <f t="shared" si="0"/>
        <v>92</v>
      </c>
      <c r="P11" s="195">
        <v>104</v>
      </c>
      <c r="Q11" s="195">
        <v>107</v>
      </c>
      <c r="R11" s="195">
        <v>-110</v>
      </c>
      <c r="S11" s="196">
        <f t="shared" si="7"/>
        <v>107</v>
      </c>
      <c r="T11" s="197">
        <f t="shared" si="8"/>
        <v>199</v>
      </c>
      <c r="U11" s="198" t="str">
        <f t="shared" si="9"/>
        <v>REG + 14</v>
      </c>
      <c r="V11" s="199" t="str">
        <f>IF(E11=0," ",IF(E11="H",IF(H11&lt;=SENIORS_Min,VLOOKUP(K11,Minimas!$A$15:$F$29,6),IF(AND(H11&gt;=U20_Min,H11&lt;=U20_Max),VLOOKUP(K11,Minimas!$A$15:$F$29,5),IF(AND(H11&gt;=U17_Min,H11&lt;=U17_Max),VLOOKUP(K11,Minimas!$A$15:$F$29,4),IF(AND(H11&gt;=U15_Min,H11&lt;=U15_Max),VLOOKUP(K11,Minimas!$A$15:$F$29,3),VLOOKUP(K11,Minimas!$A$15:$F$29,2))))),IF(H11&lt;=SENIORS_Min,VLOOKUP(K11,Minimas!$G$15:$L$29,6),IF(AND(H11&gt;=U20_Min,H11&lt;=U20_Max),VLOOKUP(K11,Minimas!$G$15:$L$29,5),IF(AND(H11&gt;=U17_Min,H11&lt;=U17_Max),VLOOKUP(K11,Minimas!$G$15:$L$29,4),IF(AND(H11&gt;=U15_Min,H11&lt;=U15_Max),VLOOKUP(K11,Minimas!$G$15:$L$29,3),VLOOKUP(K11,Minimas!$G$15:$L$29,2)))))))</f>
        <v>SE M73</v>
      </c>
      <c r="W11" s="200">
        <f t="shared" si="10"/>
        <v>278.86751993276613</v>
      </c>
      <c r="X11" s="82"/>
      <c r="Y11" s="80"/>
      <c r="Z11" s="80"/>
      <c r="AA11" s="57"/>
      <c r="AB11" s="46">
        <f>T11-HLOOKUP(V11,Minimas!$C$3:$CD$12,2,FALSE)</f>
        <v>64</v>
      </c>
      <c r="AC11" s="46">
        <f>T11-HLOOKUP(V11,Minimas!$C$3:$CD$12,3,FALSE)</f>
        <v>39</v>
      </c>
      <c r="AD11" s="46">
        <f>T11-HLOOKUP(V11,Minimas!$C$3:$CD$12,4,FALSE)</f>
        <v>14</v>
      </c>
      <c r="AE11" s="46">
        <f>T11-HLOOKUP(V11,Minimas!$C$3:$CD$12,5,FALSE)</f>
        <v>-11</v>
      </c>
      <c r="AF11" s="46">
        <f>T11-HLOOKUP(V11,Minimas!$C$3:$CD$12,6,FALSE)</f>
        <v>-41</v>
      </c>
      <c r="AG11" s="46">
        <f>T11-HLOOKUP(V11,Minimas!$C$3:$CD$12,7,FALSE)</f>
        <v>-61</v>
      </c>
      <c r="AH11" s="46">
        <f>T11-HLOOKUP(V11,Minimas!$C$3:$CD$12,8,FALSE)</f>
        <v>-91</v>
      </c>
      <c r="AI11" s="46">
        <f>T11-HLOOKUP(V11,Minimas!$C$3:$CD$12,9,FALSE)</f>
        <v>-116</v>
      </c>
      <c r="AJ11" s="46">
        <f>T11-HLOOKUP(V11,Minimas!$C$3:$CD$12,10,FALSE)</f>
        <v>-9800</v>
      </c>
      <c r="AK11" s="47" t="str">
        <f t="shared" si="4"/>
        <v>REG +</v>
      </c>
      <c r="AL11" s="47"/>
      <c r="AM11" s="47" t="str">
        <f t="shared" si="5"/>
        <v>REG +</v>
      </c>
      <c r="AN11" s="47">
        <f t="shared" si="6"/>
        <v>14</v>
      </c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</row>
    <row r="12" spans="1:124" s="4" customFormat="1" ht="30" customHeight="1" x14ac:dyDescent="0.25">
      <c r="B12" s="188">
        <v>106</v>
      </c>
      <c r="C12" s="189"/>
      <c r="D12" s="201"/>
      <c r="E12" s="191" t="s">
        <v>133</v>
      </c>
      <c r="F12" s="298" t="s">
        <v>201</v>
      </c>
      <c r="G12" s="298" t="s">
        <v>202</v>
      </c>
      <c r="H12" s="298">
        <v>2006</v>
      </c>
      <c r="I12" s="300" t="s">
        <v>178</v>
      </c>
      <c r="J12" s="191" t="s">
        <v>270</v>
      </c>
      <c r="K12" s="194">
        <v>75.650000000000006</v>
      </c>
      <c r="L12" s="195">
        <v>88</v>
      </c>
      <c r="M12" s="195">
        <v>-91</v>
      </c>
      <c r="N12" s="195">
        <v>-92</v>
      </c>
      <c r="O12" s="279">
        <f t="shared" si="0"/>
        <v>88</v>
      </c>
      <c r="P12" s="195">
        <v>105</v>
      </c>
      <c r="Q12" s="195">
        <v>-109</v>
      </c>
      <c r="R12" s="195">
        <v>-109</v>
      </c>
      <c r="S12" s="196">
        <f t="shared" si="7"/>
        <v>105</v>
      </c>
      <c r="T12" s="197">
        <f t="shared" si="8"/>
        <v>193</v>
      </c>
      <c r="U12" s="198" t="str">
        <f t="shared" si="9"/>
        <v>FED + 3</v>
      </c>
      <c r="V12" s="199" t="str">
        <f>IF(E12=0," ",IF(E12="H",IF(H12&lt;=SENIORS_Min,VLOOKUP(K12,Minimas!$A$15:$F$29,6),IF(AND(H12&gt;=U20_Min,H12&lt;=U20_Max),VLOOKUP(K12,Minimas!$A$15:$F$29,5),IF(AND(H12&gt;=U17_Min,H12&lt;=U17_Max),VLOOKUP(K12,Minimas!$A$15:$F$29,4),IF(AND(H12&gt;=U15_Min,H12&lt;=U15_Max),VLOOKUP(K12,Minimas!$A$15:$F$29,3),VLOOKUP(K12,Minimas!$A$15:$F$29,2))))),IF(H12&lt;=SENIORS_Min,VLOOKUP(K12,Minimas!$G$15:$L$29,6),IF(AND(H12&gt;=U20_Min,H12&lt;=U20_Max),VLOOKUP(K12,Minimas!$G$15:$L$29,5),IF(AND(H12&gt;=U17_Min,H12&lt;=U17_Max),VLOOKUP(K12,Minimas!$G$15:$L$29,4),IF(AND(H12&gt;=U15_Min,H12&lt;=U15_Max),VLOOKUP(K12,Minimas!$G$15:$L$29,3),VLOOKUP(K12,Minimas!$G$15:$L$29,2)))))))</f>
        <v>U17 M81</v>
      </c>
      <c r="W12" s="200">
        <f t="shared" si="10"/>
        <v>254.64786091501816</v>
      </c>
      <c r="X12" s="82"/>
      <c r="Y12" s="80"/>
      <c r="Z12" s="80"/>
      <c r="AA12" s="57"/>
      <c r="AB12" s="46">
        <f>T12-HLOOKUP(V12,Minimas!$C$3:$CD$12,2,FALSE)</f>
        <v>83</v>
      </c>
      <c r="AC12" s="46">
        <f>T12-HLOOKUP(V12,Minimas!$C$3:$CD$12,3,FALSE)</f>
        <v>63</v>
      </c>
      <c r="AD12" s="46">
        <f>T12-HLOOKUP(V12,Minimas!$C$3:$CD$12,4,FALSE)</f>
        <v>43</v>
      </c>
      <c r="AE12" s="46">
        <f>T12-HLOOKUP(V12,Minimas!$C$3:$CD$12,5,FALSE)</f>
        <v>23</v>
      </c>
      <c r="AF12" s="46">
        <f>T12-HLOOKUP(V12,Minimas!$C$3:$CD$12,6,FALSE)</f>
        <v>3</v>
      </c>
      <c r="AG12" s="46">
        <f>T12-HLOOKUP(V12,Minimas!$C$3:$CD$12,7,FALSE)</f>
        <v>-17</v>
      </c>
      <c r="AH12" s="46">
        <f>T12-HLOOKUP(V12,Minimas!$C$3:$CD$12,8,FALSE)</f>
        <v>-42</v>
      </c>
      <c r="AI12" s="46">
        <f>T12-HLOOKUP(V12,Minimas!$C$3:$CD$12,9,FALSE)</f>
        <v>-72</v>
      </c>
      <c r="AJ12" s="46">
        <f>T12-HLOOKUP(V12,Minimas!$C$3:$CD$12,10,FALSE)</f>
        <v>-9806</v>
      </c>
      <c r="AK12" s="47" t="str">
        <f t="shared" si="4"/>
        <v>FED +</v>
      </c>
      <c r="AL12" s="47"/>
      <c r="AM12" s="47" t="str">
        <f t="shared" si="5"/>
        <v>FED +</v>
      </c>
      <c r="AN12" s="47">
        <f t="shared" si="6"/>
        <v>3</v>
      </c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</row>
    <row r="13" spans="1:124" s="4" customFormat="1" ht="30" customHeight="1" x14ac:dyDescent="0.25">
      <c r="B13" s="188">
        <v>107</v>
      </c>
      <c r="C13" s="189"/>
      <c r="D13" s="201"/>
      <c r="E13" s="191" t="s">
        <v>133</v>
      </c>
      <c r="F13" s="300" t="s">
        <v>203</v>
      </c>
      <c r="G13" s="300" t="s">
        <v>204</v>
      </c>
      <c r="H13" s="300">
        <v>2007</v>
      </c>
      <c r="I13" s="300" t="s">
        <v>205</v>
      </c>
      <c r="J13" s="191" t="s">
        <v>272</v>
      </c>
      <c r="K13" s="194">
        <v>79.55</v>
      </c>
      <c r="L13" s="195">
        <v>85</v>
      </c>
      <c r="M13" s="195">
        <v>89</v>
      </c>
      <c r="N13" s="195">
        <v>-92</v>
      </c>
      <c r="O13" s="279">
        <f t="shared" si="0"/>
        <v>89</v>
      </c>
      <c r="P13" s="195">
        <v>100</v>
      </c>
      <c r="Q13" s="195">
        <v>-105</v>
      </c>
      <c r="R13" s="195">
        <v>-108</v>
      </c>
      <c r="S13" s="196">
        <f t="shared" si="7"/>
        <v>100</v>
      </c>
      <c r="T13" s="197">
        <f t="shared" si="8"/>
        <v>189</v>
      </c>
      <c r="U13" s="198" t="str">
        <f t="shared" si="9"/>
        <v>IRG + 19</v>
      </c>
      <c r="V13" s="199" t="str">
        <f>IF(E13=0," ",IF(E13="H",IF(H13&lt;=SENIORS_Min,VLOOKUP(K13,Minimas!$A$15:$F$29,6),IF(AND(H13&gt;=U20_Min,H13&lt;=U20_Max),VLOOKUP(K13,Minimas!$A$15:$F$29,5),IF(AND(H13&gt;=U17_Min,H13&lt;=U17_Max),VLOOKUP(K13,Minimas!$A$15:$F$29,4),IF(AND(H13&gt;=U15_Min,H13&lt;=U15_Max),VLOOKUP(K13,Minimas!$A$15:$F$29,3),VLOOKUP(K13,Minimas!$A$15:$F$29,2))))),IF(H13&lt;=SENIORS_Min,VLOOKUP(K13,Minimas!$G$15:$L$29,6),IF(AND(H13&gt;=U20_Min,H13&lt;=U20_Max),VLOOKUP(K13,Minimas!$G$15:$L$29,5),IF(AND(H13&gt;=U17_Min,H13&lt;=U17_Max),VLOOKUP(K13,Minimas!$G$15:$L$29,4),IF(AND(H13&gt;=U15_Min,H13&lt;=U15_Max),VLOOKUP(K13,Minimas!$G$15:$L$29,3),VLOOKUP(K13,Minimas!$G$15:$L$29,2)))))))</f>
        <v>U17 M81</v>
      </c>
      <c r="W13" s="200">
        <f t="shared" si="10"/>
        <v>242.27567346651139</v>
      </c>
      <c r="X13" s="82"/>
      <c r="Y13" s="80"/>
      <c r="Z13" s="80"/>
      <c r="AA13" s="57"/>
      <c r="AB13" s="46">
        <f>T13-HLOOKUP(V13,Minimas!$C$3:$CD$12,2,FALSE)</f>
        <v>79</v>
      </c>
      <c r="AC13" s="46">
        <f>T13-HLOOKUP(V13,Minimas!$C$3:$CD$12,3,FALSE)</f>
        <v>59</v>
      </c>
      <c r="AD13" s="46">
        <f>T13-HLOOKUP(V13,Minimas!$C$3:$CD$12,4,FALSE)</f>
        <v>39</v>
      </c>
      <c r="AE13" s="46">
        <f>T13-HLOOKUP(V13,Minimas!$C$3:$CD$12,5,FALSE)</f>
        <v>19</v>
      </c>
      <c r="AF13" s="46">
        <f>T13-HLOOKUP(V13,Minimas!$C$3:$CD$12,6,FALSE)</f>
        <v>-1</v>
      </c>
      <c r="AG13" s="46">
        <f>T13-HLOOKUP(V13,Minimas!$C$3:$CD$12,7,FALSE)</f>
        <v>-21</v>
      </c>
      <c r="AH13" s="46">
        <f>T13-HLOOKUP(V13,Minimas!$C$3:$CD$12,8,FALSE)</f>
        <v>-46</v>
      </c>
      <c r="AI13" s="46">
        <f>T13-HLOOKUP(V13,Minimas!$C$3:$CD$12,9,FALSE)</f>
        <v>-76</v>
      </c>
      <c r="AJ13" s="46">
        <f>T13-HLOOKUP(V13,Minimas!$C$3:$CD$12,10,FALSE)</f>
        <v>-9810</v>
      </c>
      <c r="AK13" s="47" t="str">
        <f t="shared" si="4"/>
        <v>IRG +</v>
      </c>
      <c r="AL13" s="47"/>
      <c r="AM13" s="47" t="str">
        <f t="shared" si="5"/>
        <v>IRG +</v>
      </c>
      <c r="AN13" s="47">
        <f t="shared" si="6"/>
        <v>19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</row>
    <row r="14" spans="1:124" s="4" customFormat="1" ht="30" customHeight="1" x14ac:dyDescent="0.25">
      <c r="B14" s="188">
        <v>108</v>
      </c>
      <c r="C14" s="189"/>
      <c r="D14" s="201"/>
      <c r="E14" s="191" t="s">
        <v>133</v>
      </c>
      <c r="F14" s="300" t="s">
        <v>206</v>
      </c>
      <c r="G14" s="300" t="s">
        <v>207</v>
      </c>
      <c r="H14" s="300">
        <v>2008</v>
      </c>
      <c r="I14" s="300" t="s">
        <v>191</v>
      </c>
      <c r="J14" s="191" t="s">
        <v>271</v>
      </c>
      <c r="K14" s="194">
        <v>73.55</v>
      </c>
      <c r="L14" s="195">
        <v>-90</v>
      </c>
      <c r="M14" s="195">
        <v>90</v>
      </c>
      <c r="N14" s="195">
        <v>93</v>
      </c>
      <c r="O14" s="279">
        <f t="shared" si="0"/>
        <v>93</v>
      </c>
      <c r="P14" s="195">
        <v>110</v>
      </c>
      <c r="Q14" s="195">
        <v>115</v>
      </c>
      <c r="R14" s="195">
        <v>-120</v>
      </c>
      <c r="S14" s="196">
        <f t="shared" si="7"/>
        <v>115</v>
      </c>
      <c r="T14" s="197">
        <f t="shared" si="8"/>
        <v>208</v>
      </c>
      <c r="U14" s="198" t="str">
        <f t="shared" si="9"/>
        <v>NAT + 18</v>
      </c>
      <c r="V14" s="199" t="str">
        <f>IF(E14=0," ",IF(E14="H",IF(H14&lt;=SENIORS_Min,VLOOKUP(K14,Minimas!$A$15:$F$29,6),IF(AND(H14&gt;=U20_Min,H14&lt;=U20_Max),VLOOKUP(K14,Minimas!$A$15:$F$29,5),IF(AND(H14&gt;=U17_Min,H14&lt;=U17_Max),VLOOKUP(K14,Minimas!$A$15:$F$29,4),IF(AND(H14&gt;=U15_Min,H14&lt;=U15_Max),VLOOKUP(K14,Minimas!$A$15:$F$29,3),VLOOKUP(K14,Minimas!$A$15:$F$29,2))))),IF(H14&lt;=SENIORS_Min,VLOOKUP(K14,Minimas!$G$15:$L$29,6),IF(AND(H14&gt;=U20_Min,H14&lt;=U20_Max),VLOOKUP(K14,Minimas!$G$15:$L$29,5),IF(AND(H14&gt;=U17_Min,H14&lt;=U17_Max),VLOOKUP(K14,Minimas!$G$15:$L$29,4),IF(AND(H14&gt;=U15_Min,H14&lt;=U15_Max),VLOOKUP(K14,Minimas!$G$15:$L$29,3),VLOOKUP(K14,Minimas!$G$15:$L$29,2)))))))</f>
        <v>U15 M81</v>
      </c>
      <c r="W14" s="200">
        <f t="shared" si="10"/>
        <v>279.10453225151497</v>
      </c>
      <c r="X14" s="82"/>
      <c r="Y14" s="80"/>
      <c r="Z14" s="80"/>
      <c r="AA14" s="57"/>
      <c r="AB14" s="46">
        <f>T14-HLOOKUP(V14,Minimas!$C$3:$CD$12,2,FALSE)</f>
        <v>123</v>
      </c>
      <c r="AC14" s="46">
        <f>T14-HLOOKUP(V14,Minimas!$C$3:$CD$12,3,FALSE)</f>
        <v>103</v>
      </c>
      <c r="AD14" s="46">
        <f>T14-HLOOKUP(V14,Minimas!$C$3:$CD$12,4,FALSE)</f>
        <v>78</v>
      </c>
      <c r="AE14" s="46">
        <f>T14-HLOOKUP(V14,Minimas!$C$3:$CD$12,5,FALSE)</f>
        <v>58</v>
      </c>
      <c r="AF14" s="46">
        <f>T14-HLOOKUP(V14,Minimas!$C$3:$CD$12,6,FALSE)</f>
        <v>38</v>
      </c>
      <c r="AG14" s="46">
        <f>T14-HLOOKUP(V14,Minimas!$C$3:$CD$12,7,FALSE)</f>
        <v>18</v>
      </c>
      <c r="AH14" s="46">
        <f>T14-HLOOKUP(V14,Minimas!$C$3:$CD$12,8,FALSE)</f>
        <v>-2</v>
      </c>
      <c r="AI14" s="46">
        <f>T14-HLOOKUP(V14,Minimas!$C$3:$CD$12,9,FALSE)</f>
        <v>-22</v>
      </c>
      <c r="AJ14" s="46">
        <f>T14-HLOOKUP(V14,Minimas!$C$3:$CD$12,10,FALSE)</f>
        <v>-9791</v>
      </c>
      <c r="AK14" s="47" t="str">
        <f t="shared" si="4"/>
        <v>NAT +</v>
      </c>
      <c r="AL14" s="47"/>
      <c r="AM14" s="47" t="str">
        <f t="shared" si="5"/>
        <v>NAT +</v>
      </c>
      <c r="AN14" s="47">
        <f t="shared" si="6"/>
        <v>18</v>
      </c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</row>
    <row r="15" spans="1:124" s="4" customFormat="1" ht="30" customHeight="1" x14ac:dyDescent="0.25">
      <c r="B15" s="188">
        <v>109</v>
      </c>
      <c r="C15" s="189"/>
      <c r="D15" s="201"/>
      <c r="E15" s="191" t="s">
        <v>133</v>
      </c>
      <c r="F15" s="300" t="s">
        <v>210</v>
      </c>
      <c r="G15" s="300" t="s">
        <v>211</v>
      </c>
      <c r="H15" s="300">
        <v>2005</v>
      </c>
      <c r="I15" s="300" t="s">
        <v>158</v>
      </c>
      <c r="J15" s="191" t="s">
        <v>273</v>
      </c>
      <c r="K15" s="194">
        <v>66.55</v>
      </c>
      <c r="L15" s="195">
        <v>105</v>
      </c>
      <c r="M15" s="195">
        <v>-110</v>
      </c>
      <c r="N15" s="195">
        <v>-110</v>
      </c>
      <c r="O15" s="279">
        <f t="shared" si="0"/>
        <v>105</v>
      </c>
      <c r="P15" s="195">
        <v>127</v>
      </c>
      <c r="Q15" s="195">
        <v>-135</v>
      </c>
      <c r="R15" s="195">
        <v>-135</v>
      </c>
      <c r="S15" s="196">
        <f t="shared" si="7"/>
        <v>127</v>
      </c>
      <c r="T15" s="197">
        <f t="shared" si="8"/>
        <v>232</v>
      </c>
      <c r="U15" s="198" t="str">
        <f t="shared" si="9"/>
        <v>NAT + 14</v>
      </c>
      <c r="V15" s="199" t="str">
        <f>IF(E15=0," ",IF(E15="H",IF(H15&lt;=SENIORS_Min,VLOOKUP(K15,Minimas!$A$15:$F$29,6),IF(AND(H15&gt;=U20_Min,H15&lt;=U20_Max),VLOOKUP(K15,Minimas!$A$15:$F$29,5),IF(AND(H15&gt;=U17_Min,H15&lt;=U17_Max),VLOOKUP(K15,Minimas!$A$15:$F$29,4),IF(AND(H15&gt;=U15_Min,H15&lt;=U15_Max),VLOOKUP(K15,Minimas!$A$15:$F$29,3),VLOOKUP(K15,Minimas!$A$15:$F$29,2))))),IF(H15&lt;=SENIORS_Min,VLOOKUP(K15,Minimas!$G$15:$L$29,6),IF(AND(H15&gt;=U20_Min,H15&lt;=U20_Max),VLOOKUP(K15,Minimas!$G$15:$L$29,5),IF(AND(H15&gt;=U17_Min,H15&lt;=U17_Max),VLOOKUP(K15,Minimas!$G$15:$L$29,4),IF(AND(H15&gt;=U15_Min,H15&lt;=U15_Max),VLOOKUP(K15,Minimas!$G$15:$L$29,3),VLOOKUP(K15,Minimas!$G$15:$L$29,2)))))))</f>
        <v>U20 M67</v>
      </c>
      <c r="W15" s="200">
        <f t="shared" si="10"/>
        <v>331.85369094858066</v>
      </c>
      <c r="X15" s="82"/>
      <c r="Y15" s="80"/>
      <c r="Z15" s="80"/>
      <c r="AA15" s="57"/>
      <c r="AB15" s="46">
        <f>T15-HLOOKUP(V15,Minimas!$C$3:$CD$12,2,FALSE)</f>
        <v>127</v>
      </c>
      <c r="AC15" s="46">
        <f>T15-HLOOKUP(V15,Minimas!$C$3:$CD$12,3,FALSE)</f>
        <v>107</v>
      </c>
      <c r="AD15" s="46">
        <f>T15-HLOOKUP(V15,Minimas!$C$3:$CD$12,4,FALSE)</f>
        <v>82</v>
      </c>
      <c r="AE15" s="46">
        <f>T15-HLOOKUP(V15,Minimas!$C$3:$CD$12,5,FALSE)</f>
        <v>62</v>
      </c>
      <c r="AF15" s="46">
        <f>T15-HLOOKUP(V15,Minimas!$C$3:$CD$12,6,FALSE)</f>
        <v>42</v>
      </c>
      <c r="AG15" s="46">
        <f>T15-HLOOKUP(V15,Minimas!$C$3:$CD$12,7,FALSE)</f>
        <v>14</v>
      </c>
      <c r="AH15" s="46">
        <f>T15-HLOOKUP(V15,Minimas!$C$3:$CD$12,8,FALSE)</f>
        <v>-13</v>
      </c>
      <c r="AI15" s="46">
        <f>T15-HLOOKUP(V15,Minimas!$C$3:$CD$12,9,FALSE)</f>
        <v>-33</v>
      </c>
      <c r="AJ15" s="46">
        <f>T15-HLOOKUP(V15,Minimas!$C$3:$CD$12,10,FALSE)</f>
        <v>-9767</v>
      </c>
      <c r="AK15" s="47" t="str">
        <f t="shared" si="4"/>
        <v>NAT +</v>
      </c>
      <c r="AL15" s="47"/>
      <c r="AM15" s="47" t="str">
        <f t="shared" si="5"/>
        <v>NAT +</v>
      </c>
      <c r="AN15" s="47">
        <f t="shared" si="6"/>
        <v>14</v>
      </c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</row>
    <row r="16" spans="1:124" s="4" customFormat="1" ht="30" customHeight="1" x14ac:dyDescent="0.25">
      <c r="B16" s="188">
        <v>110</v>
      </c>
      <c r="C16" s="189"/>
      <c r="D16" s="201"/>
      <c r="E16" s="191" t="s">
        <v>133</v>
      </c>
      <c r="F16" s="300" t="s">
        <v>212</v>
      </c>
      <c r="G16" s="300" t="s">
        <v>213</v>
      </c>
      <c r="H16" s="300">
        <v>1998</v>
      </c>
      <c r="I16" s="300" t="s">
        <v>181</v>
      </c>
      <c r="J16" s="191" t="s">
        <v>270</v>
      </c>
      <c r="K16" s="194">
        <v>68.349999999999994</v>
      </c>
      <c r="L16" s="195">
        <v>-110</v>
      </c>
      <c r="M16" s="195">
        <v>110</v>
      </c>
      <c r="N16" s="195">
        <v>115</v>
      </c>
      <c r="O16" s="279">
        <f t="shared" si="0"/>
        <v>115</v>
      </c>
      <c r="P16" s="195">
        <v>-135</v>
      </c>
      <c r="Q16" s="195">
        <v>135</v>
      </c>
      <c r="R16" s="195">
        <v>-145</v>
      </c>
      <c r="S16" s="196">
        <f t="shared" si="7"/>
        <v>135</v>
      </c>
      <c r="T16" s="197">
        <f t="shared" si="8"/>
        <v>250</v>
      </c>
      <c r="U16" s="198" t="str">
        <f t="shared" si="9"/>
        <v>FED + 10</v>
      </c>
      <c r="V16" s="199" t="str">
        <f>IF(E16=0," ",IF(E16="H",IF(H16&lt;=SENIORS_Min,VLOOKUP(K16,Minimas!$A$15:$F$29,6),IF(AND(H16&gt;=U20_Min,H16&lt;=U20_Max),VLOOKUP(K16,Minimas!$A$15:$F$29,5),IF(AND(H16&gt;=U17_Min,H16&lt;=U17_Max),VLOOKUP(K16,Minimas!$A$15:$F$29,4),IF(AND(H16&gt;=U15_Min,H16&lt;=U15_Max),VLOOKUP(K16,Minimas!$A$15:$F$29,3),VLOOKUP(K16,Minimas!$A$15:$F$29,2))))),IF(H16&lt;=SENIORS_Min,VLOOKUP(K16,Minimas!$G$15:$L$29,6),IF(AND(H16&gt;=U20_Min,H16&lt;=U20_Max),VLOOKUP(K16,Minimas!$G$15:$L$29,5),IF(AND(H16&gt;=U17_Min,H16&lt;=U17_Max),VLOOKUP(K16,Minimas!$G$15:$L$29,4),IF(AND(H16&gt;=U15_Min,H16&lt;=U15_Max),VLOOKUP(K16,Minimas!$G$15:$L$29,3),VLOOKUP(K16,Minimas!$G$15:$L$29,2)))))))</f>
        <v>SE M73</v>
      </c>
      <c r="W16" s="200">
        <f t="shared" si="10"/>
        <v>351.33830728015909</v>
      </c>
      <c r="X16" s="82"/>
      <c r="Y16" s="80"/>
      <c r="Z16" s="80"/>
      <c r="AA16" s="57"/>
      <c r="AB16" s="46">
        <f>T16-HLOOKUP(V16,Minimas!$C$3:$CD$12,2,FALSE)</f>
        <v>115</v>
      </c>
      <c r="AC16" s="46">
        <f>T16-HLOOKUP(V16,Minimas!$C$3:$CD$12,3,FALSE)</f>
        <v>90</v>
      </c>
      <c r="AD16" s="46">
        <f>T16-HLOOKUP(V16,Minimas!$C$3:$CD$12,4,FALSE)</f>
        <v>65</v>
      </c>
      <c r="AE16" s="46">
        <f>T16-HLOOKUP(V16,Minimas!$C$3:$CD$12,5,FALSE)</f>
        <v>40</v>
      </c>
      <c r="AF16" s="46">
        <f>T16-HLOOKUP(V16,Minimas!$C$3:$CD$12,6,FALSE)</f>
        <v>10</v>
      </c>
      <c r="AG16" s="46">
        <f>T16-HLOOKUP(V16,Minimas!$C$3:$CD$12,7,FALSE)</f>
        <v>-10</v>
      </c>
      <c r="AH16" s="46">
        <f>T16-HLOOKUP(V16,Minimas!$C$3:$CD$12,8,FALSE)</f>
        <v>-40</v>
      </c>
      <c r="AI16" s="46">
        <f>T16-HLOOKUP(V16,Minimas!$C$3:$CD$12,9,FALSE)</f>
        <v>-65</v>
      </c>
      <c r="AJ16" s="46">
        <f>T16-HLOOKUP(V16,Minimas!$C$3:$CD$12,10,FALSE)</f>
        <v>-9749</v>
      </c>
      <c r="AK16" s="47" t="str">
        <f t="shared" si="4"/>
        <v>FED +</v>
      </c>
      <c r="AL16" s="47"/>
      <c r="AM16" s="47" t="str">
        <f t="shared" si="5"/>
        <v>FED +</v>
      </c>
      <c r="AN16" s="47">
        <f t="shared" si="6"/>
        <v>10</v>
      </c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</row>
    <row r="17" spans="2:107" s="4" customFormat="1" ht="30" customHeight="1" thickBot="1" x14ac:dyDescent="0.3">
      <c r="B17" s="188"/>
      <c r="C17" s="189"/>
      <c r="D17" s="201"/>
      <c r="E17" s="191"/>
      <c r="F17" s="300"/>
      <c r="G17" s="300"/>
      <c r="H17" s="297"/>
      <c r="I17" s="297"/>
      <c r="J17" s="191"/>
      <c r="K17" s="194"/>
      <c r="L17" s="195"/>
      <c r="M17" s="195"/>
      <c r="N17" s="195"/>
      <c r="O17" s="279" t="str">
        <f t="shared" si="0"/>
        <v/>
      </c>
      <c r="P17" s="195"/>
      <c r="Q17" s="195"/>
      <c r="R17" s="195"/>
      <c r="S17" s="196" t="str">
        <f t="shared" si="7"/>
        <v/>
      </c>
      <c r="T17" s="197" t="str">
        <f t="shared" si="8"/>
        <v/>
      </c>
      <c r="U17" s="198" t="str">
        <f t="shared" si="9"/>
        <v xml:space="preserve">   </v>
      </c>
      <c r="V17" s="199" t="str">
        <f>IF(E17=0," ",IF(E17="H",IF(H17&lt;=SENIORS_Min,VLOOKUP(K17,Minimas!$A$15:$F$29,6),IF(AND(H17&gt;=U20_Min,H17&lt;=U20_Max),VLOOKUP(K17,Minimas!$A$15:$F$29,5),IF(AND(H17&gt;=U17_Min,H17&lt;=U17_Max),VLOOKUP(K17,Minimas!$A$15:$F$29,4),IF(AND(H17&gt;=U15_Min,H17&lt;=U15_Max),VLOOKUP(K17,Minimas!$A$15:$F$29,3),VLOOKUP(K17,Minimas!$A$15:$F$29,2))))),IF(H17&lt;=SENIORS_Min,VLOOKUP(K17,Minimas!$G$15:$L$29,6),IF(AND(H17&gt;=U20_Min,H17&lt;=U20_Max),VLOOKUP(K17,Minimas!$G$15:$L$29,5),IF(AND(H17&gt;=U17_Min,H17&lt;=U17_Max),VLOOKUP(K17,Minimas!$G$15:$L$29,4),IF(AND(H17&gt;=U15_Min,H17&lt;=U15_Max),VLOOKUP(K17,Minimas!$G$15:$L$29,3),VLOOKUP(K17,Minimas!$G$15:$L$29,2)))))))</f>
        <v xml:space="preserve"> </v>
      </c>
      <c r="W17" s="200" t="str">
        <f t="shared" si="10"/>
        <v/>
      </c>
      <c r="X17" s="82"/>
      <c r="Y17" s="80"/>
      <c r="Z17" s="80"/>
      <c r="AA17" s="57"/>
      <c r="AB17" s="46" t="e">
        <f>T17-HLOOKUP(V17,Minimas!$C$3:$CD$12,2,FALSE)</f>
        <v>#VALUE!</v>
      </c>
      <c r="AC17" s="46" t="e">
        <f>T17-HLOOKUP(V17,Minimas!$C$3:$CD$12,3,FALSE)</f>
        <v>#VALUE!</v>
      </c>
      <c r="AD17" s="46" t="e">
        <f>T17-HLOOKUP(V17,Minimas!$C$3:$CD$12,4,FALSE)</f>
        <v>#VALUE!</v>
      </c>
      <c r="AE17" s="46" t="e">
        <f>T17-HLOOKUP(V17,Minimas!$C$3:$CD$12,5,FALSE)</f>
        <v>#VALUE!</v>
      </c>
      <c r="AF17" s="46" t="e">
        <f>T17-HLOOKUP(V17,Minimas!$C$3:$CD$12,6,FALSE)</f>
        <v>#VALUE!</v>
      </c>
      <c r="AG17" s="46" t="e">
        <f>T17-HLOOKUP(V17,Minimas!$C$3:$CD$12,7,FALSE)</f>
        <v>#VALUE!</v>
      </c>
      <c r="AH17" s="46" t="e">
        <f>T17-HLOOKUP(V17,Minimas!$C$3:$CD$12,8,FALSE)</f>
        <v>#VALUE!</v>
      </c>
      <c r="AI17" s="46" t="e">
        <f>T17-HLOOKUP(V17,Minimas!$C$3:$CD$12,9,FALSE)</f>
        <v>#VALUE!</v>
      </c>
      <c r="AJ17" s="46" t="e">
        <f>T17-HLOOKUP(V17,Minimas!$C$3:$CD$12,10,FALSE)</f>
        <v>#VALUE!</v>
      </c>
      <c r="AK17" s="47" t="str">
        <f t="shared" si="4"/>
        <v xml:space="preserve"> </v>
      </c>
      <c r="AL17" s="47"/>
      <c r="AM17" s="47" t="str">
        <f t="shared" si="5"/>
        <v xml:space="preserve"> </v>
      </c>
      <c r="AN17" s="47" t="str">
        <f t="shared" si="6"/>
        <v xml:space="preserve"> 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2:107" s="4" customFormat="1" ht="30" hidden="1" customHeight="1" x14ac:dyDescent="0.25">
      <c r="B18" s="188"/>
      <c r="C18" s="189"/>
      <c r="D18" s="201"/>
      <c r="E18" s="191"/>
      <c r="F18" s="191"/>
      <c r="G18" s="192"/>
      <c r="H18" s="193"/>
      <c r="I18" s="277"/>
      <c r="J18" s="191"/>
      <c r="K18" s="194"/>
      <c r="L18" s="195"/>
      <c r="M18" s="195"/>
      <c r="N18" s="195"/>
      <c r="O18" s="196" t="str">
        <f t="shared" si="0"/>
        <v/>
      </c>
      <c r="P18" s="195"/>
      <c r="Q18" s="195"/>
      <c r="R18" s="195"/>
      <c r="S18" s="196"/>
      <c r="T18" s="197" t="str">
        <f t="shared" si="8"/>
        <v/>
      </c>
      <c r="U18" s="198" t="str">
        <f t="shared" si="9"/>
        <v xml:space="preserve">   </v>
      </c>
      <c r="V18" s="199" t="str">
        <f>IF(E18=0," ",IF(E18="H",IF(H18&lt;=SENIORS_Min,VLOOKUP(K18,Minimas!$A$15:$F$29,6),IF(AND(H18&gt;=U20_Min,H18&lt;=U20_Max),VLOOKUP(K18,Minimas!$A$15:$F$29,5),IF(AND(H18&gt;=U17_Min,H18&lt;=U17_Max),VLOOKUP(K18,Minimas!$A$15:$F$29,4),IF(AND(H18&gt;=U15_Min,H18&lt;=U15_Max),VLOOKUP(K18,Minimas!$A$15:$F$29,3),VLOOKUP(K18,Minimas!$A$15:$F$29,2))))),IF(H18&lt;=SENIORS_Min,VLOOKUP(K18,Minimas!$G$15:$L$29,6),IF(AND(H18&gt;=U20_Min,H18&lt;=U20_Max),VLOOKUP(K18,Minimas!$G$15:$L$29,5),IF(AND(H18&gt;=U17_Min,H18&lt;=U17_Max),VLOOKUP(K18,Minimas!$G$15:$L$29,4),IF(AND(H18&gt;=U15_Min,H18&lt;=U15_Max),VLOOKUP(K18,Minimas!$G$15:$L$29,3),VLOOKUP(K18,Minimas!$G$15:$L$29,2)))))))</f>
        <v xml:space="preserve"> </v>
      </c>
      <c r="W18" s="200" t="str">
        <f t="shared" si="10"/>
        <v/>
      </c>
      <c r="X18" s="82"/>
      <c r="Y18" s="80"/>
      <c r="Z18" s="80"/>
      <c r="AA18" s="57"/>
      <c r="AB18" s="46" t="e">
        <f>T18-HLOOKUP(V18,Minimas!$C$3:$CD$12,2,FALSE)</f>
        <v>#VALUE!</v>
      </c>
      <c r="AC18" s="46" t="e">
        <f>T18-HLOOKUP(V18,Minimas!$C$3:$CD$12,3,FALSE)</f>
        <v>#VALUE!</v>
      </c>
      <c r="AD18" s="46" t="e">
        <f>T18-HLOOKUP(V18,Minimas!$C$3:$CD$12,4,FALSE)</f>
        <v>#VALUE!</v>
      </c>
      <c r="AE18" s="46" t="e">
        <f>T18-HLOOKUP(V18,Minimas!$C$3:$CD$12,5,FALSE)</f>
        <v>#VALUE!</v>
      </c>
      <c r="AF18" s="46" t="e">
        <f>T18-HLOOKUP(V18,Minimas!$C$3:$CD$12,6,FALSE)</f>
        <v>#VALUE!</v>
      </c>
      <c r="AG18" s="46" t="e">
        <f>T18-HLOOKUP(V18,Minimas!$C$3:$CD$12,7,FALSE)</f>
        <v>#VALUE!</v>
      </c>
      <c r="AH18" s="46" t="e">
        <f>T18-HLOOKUP(V18,Minimas!$C$3:$CD$12,8,FALSE)</f>
        <v>#VALUE!</v>
      </c>
      <c r="AI18" s="46" t="e">
        <f>T18-HLOOKUP(V18,Minimas!$C$3:$CD$12,9,FALSE)</f>
        <v>#VALUE!</v>
      </c>
      <c r="AJ18" s="46" t="e">
        <f>T18-HLOOKUP(V18,Minimas!$C$3:$CD$12,10,FALSE)</f>
        <v>#VALUE!</v>
      </c>
      <c r="AK18" s="47" t="str">
        <f t="shared" si="4"/>
        <v xml:space="preserve"> </v>
      </c>
      <c r="AL18" s="47"/>
      <c r="AM18" s="47" t="str">
        <f t="shared" si="5"/>
        <v xml:space="preserve"> </v>
      </c>
      <c r="AN18" s="47" t="str">
        <f t="shared" si="6"/>
        <v xml:space="preserve"> 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2:107" s="4" customFormat="1" ht="30" hidden="1" customHeight="1" x14ac:dyDescent="0.25">
      <c r="B19" s="188"/>
      <c r="C19" s="189"/>
      <c r="D19" s="201"/>
      <c r="E19" s="191"/>
      <c r="F19" s="191"/>
      <c r="G19" s="192"/>
      <c r="H19" s="193"/>
      <c r="I19" s="277"/>
      <c r="J19" s="191"/>
      <c r="K19" s="194"/>
      <c r="L19" s="195"/>
      <c r="M19" s="195"/>
      <c r="N19" s="195"/>
      <c r="O19" s="196" t="str">
        <f t="shared" si="0"/>
        <v/>
      </c>
      <c r="P19" s="195"/>
      <c r="Q19" s="195"/>
      <c r="R19" s="195"/>
      <c r="S19" s="196"/>
      <c r="T19" s="197" t="str">
        <f t="shared" si="8"/>
        <v/>
      </c>
      <c r="U19" s="198" t="str">
        <f t="shared" si="9"/>
        <v xml:space="preserve">   </v>
      </c>
      <c r="V19" s="199" t="str">
        <f>IF(E19=0," ",IF(E19="H",IF(H19&lt;=SENIORS_Min,VLOOKUP(K19,Minimas!$A$15:$F$29,6),IF(AND(H19&gt;=U20_Min,H19&lt;=U20_Max),VLOOKUP(K19,Minimas!$A$15:$F$29,5),IF(AND(H19&gt;=U17_Min,H19&lt;=U17_Max),VLOOKUP(K19,Minimas!$A$15:$F$29,4),IF(AND(H19&gt;=U15_Min,H19&lt;=U15_Max),VLOOKUP(K19,Minimas!$A$15:$F$29,3),VLOOKUP(K19,Minimas!$A$15:$F$29,2))))),IF(H19&lt;=SENIORS_Min,VLOOKUP(K19,Minimas!$G$15:$L$29,6),IF(AND(H19&gt;=U20_Min,H19&lt;=U20_Max),VLOOKUP(K19,Minimas!$G$15:$L$29,5),IF(AND(H19&gt;=U17_Min,H19&lt;=U17_Max),VLOOKUP(K19,Minimas!$G$15:$L$29,4),IF(AND(H19&gt;=U15_Min,H19&lt;=U15_Max),VLOOKUP(K19,Minimas!$G$15:$L$29,3),VLOOKUP(K19,Minimas!$G$15:$L$29,2)))))))</f>
        <v xml:space="preserve"> </v>
      </c>
      <c r="W19" s="200" t="str">
        <f t="shared" si="10"/>
        <v/>
      </c>
      <c r="X19" s="82"/>
      <c r="Y19" s="80"/>
      <c r="Z19" s="80"/>
      <c r="AA19" s="57"/>
      <c r="AB19" s="46" t="e">
        <f>T19-HLOOKUP(V19,Minimas!$C$3:$CD$12,2,FALSE)</f>
        <v>#VALUE!</v>
      </c>
      <c r="AC19" s="46" t="e">
        <f>T19-HLOOKUP(V19,Minimas!$C$3:$CD$12,3,FALSE)</f>
        <v>#VALUE!</v>
      </c>
      <c r="AD19" s="46" t="e">
        <f>T19-HLOOKUP(V19,Minimas!$C$3:$CD$12,4,FALSE)</f>
        <v>#VALUE!</v>
      </c>
      <c r="AE19" s="46" t="e">
        <f>T19-HLOOKUP(V19,Minimas!$C$3:$CD$12,5,FALSE)</f>
        <v>#VALUE!</v>
      </c>
      <c r="AF19" s="46" t="e">
        <f>T19-HLOOKUP(V19,Minimas!$C$3:$CD$12,6,FALSE)</f>
        <v>#VALUE!</v>
      </c>
      <c r="AG19" s="46" t="e">
        <f>T19-HLOOKUP(V19,Minimas!$C$3:$CD$12,7,FALSE)</f>
        <v>#VALUE!</v>
      </c>
      <c r="AH19" s="46" t="e">
        <f>T19-HLOOKUP(V19,Minimas!$C$3:$CD$12,8,FALSE)</f>
        <v>#VALUE!</v>
      </c>
      <c r="AI19" s="46" t="e">
        <f>T19-HLOOKUP(V19,Minimas!$C$3:$CD$12,9,FALSE)</f>
        <v>#VALUE!</v>
      </c>
      <c r="AJ19" s="46" t="e">
        <f>T19-HLOOKUP(V19,Minimas!$C$3:$CD$12,10,FALSE)</f>
        <v>#VALUE!</v>
      </c>
      <c r="AK19" s="47" t="str">
        <f t="shared" si="4"/>
        <v xml:space="preserve"> </v>
      </c>
      <c r="AL19" s="47"/>
      <c r="AM19" s="47" t="str">
        <f t="shared" si="5"/>
        <v xml:space="preserve"> </v>
      </c>
      <c r="AN19" s="47" t="str">
        <f t="shared" si="6"/>
        <v xml:space="preserve"> </v>
      </c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</row>
    <row r="20" spans="2:107" s="4" customFormat="1" ht="30" hidden="1" customHeight="1" x14ac:dyDescent="0.25">
      <c r="B20" s="188"/>
      <c r="C20" s="189"/>
      <c r="D20" s="201"/>
      <c r="E20" s="191"/>
      <c r="F20" s="191"/>
      <c r="G20" s="192"/>
      <c r="H20" s="193"/>
      <c r="I20" s="217"/>
      <c r="J20" s="191"/>
      <c r="K20" s="194"/>
      <c r="L20" s="195"/>
      <c r="M20" s="195"/>
      <c r="N20" s="195"/>
      <c r="O20" s="196" t="str">
        <f t="shared" si="0"/>
        <v/>
      </c>
      <c r="P20" s="195"/>
      <c r="Q20" s="225"/>
      <c r="R20" s="195"/>
      <c r="S20" s="196" t="str">
        <f t="shared" ref="S20:S22" si="11">IF(E20="","",IF(MAXA(P20:R20)&lt;=0,0,MAXA(P20:R20)))</f>
        <v/>
      </c>
      <c r="T20" s="197" t="str">
        <f t="shared" si="8"/>
        <v/>
      </c>
      <c r="U20" s="198" t="str">
        <f t="shared" si="9"/>
        <v xml:space="preserve">   </v>
      </c>
      <c r="V20" s="199" t="str">
        <f>IF(E20=0," ",IF(E20="H",IF(H20&lt;=SENIORS_Min,VLOOKUP(K20,Minimas!$A$15:$F$29,6),IF(AND(H20&gt;=U20_Min,H20&lt;=U20_Max),VLOOKUP(K20,Minimas!$A$15:$F$29,5),IF(AND(H20&gt;=U17_Min,H20&lt;=U17_Max),VLOOKUP(K20,Minimas!$A$15:$F$29,4),IF(AND(H20&gt;=U15_Min,H20&lt;=U15_Max),VLOOKUP(K20,Minimas!$A$15:$F$29,3),VLOOKUP(K20,Minimas!$A$15:$F$29,2))))),IF(H20&lt;=SENIORS_Min,VLOOKUP(K20,Minimas!$G$15:$L$29,6),IF(AND(H20&gt;=U20_Min,H20&lt;=U20_Max),VLOOKUP(K20,Minimas!$G$15:$L$29,5),IF(AND(H20&gt;=U17_Min,H20&lt;=U17_Max),VLOOKUP(K20,Minimas!$G$15:$L$29,4),IF(AND(H20&gt;=U15_Min,H20&lt;=U15_Max),VLOOKUP(K20,Minimas!$G$15:$L$29,3),VLOOKUP(K20,Minimas!$G$15:$L$29,2)))))))</f>
        <v xml:space="preserve"> </v>
      </c>
      <c r="W20" s="200" t="str">
        <f t="shared" si="10"/>
        <v/>
      </c>
      <c r="X20" s="82"/>
      <c r="Y20" s="80"/>
      <c r="Z20" s="80"/>
      <c r="AA20" s="57"/>
      <c r="AB20" s="46" t="e">
        <f>T20-HLOOKUP(V20,Minimas!$C$3:$CD$12,2,FALSE)</f>
        <v>#VALUE!</v>
      </c>
      <c r="AC20" s="46" t="e">
        <f>T20-HLOOKUP(V20,Minimas!$C$3:$CD$12,3,FALSE)</f>
        <v>#VALUE!</v>
      </c>
      <c r="AD20" s="46" t="e">
        <f>T20-HLOOKUP(V20,Minimas!$C$3:$CD$12,4,FALSE)</f>
        <v>#VALUE!</v>
      </c>
      <c r="AE20" s="46" t="e">
        <f>T20-HLOOKUP(V20,Minimas!$C$3:$CD$12,5,FALSE)</f>
        <v>#VALUE!</v>
      </c>
      <c r="AF20" s="46" t="e">
        <f>T20-HLOOKUP(V20,Minimas!$C$3:$CD$12,6,FALSE)</f>
        <v>#VALUE!</v>
      </c>
      <c r="AG20" s="46" t="e">
        <f>T20-HLOOKUP(V20,Minimas!$C$3:$CD$12,7,FALSE)</f>
        <v>#VALUE!</v>
      </c>
      <c r="AH20" s="46" t="e">
        <f>T20-HLOOKUP(V20,Minimas!$C$3:$CD$12,8,FALSE)</f>
        <v>#VALUE!</v>
      </c>
      <c r="AI20" s="46" t="e">
        <f>T20-HLOOKUP(V20,Minimas!$C$3:$CD$12,9,FALSE)</f>
        <v>#VALUE!</v>
      </c>
      <c r="AJ20" s="46" t="e">
        <f>T20-HLOOKUP(V20,Minimas!$C$3:$CD$12,10,FALSE)</f>
        <v>#VALUE!</v>
      </c>
      <c r="AK20" s="47" t="str">
        <f t="shared" si="4"/>
        <v xml:space="preserve"> </v>
      </c>
      <c r="AL20" s="47"/>
      <c r="AM20" s="47" t="str">
        <f t="shared" si="5"/>
        <v xml:space="preserve"> </v>
      </c>
      <c r="AN20" s="47" t="str">
        <f t="shared" si="6"/>
        <v xml:space="preserve"> </v>
      </c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</row>
    <row r="21" spans="2:107" s="4" customFormat="1" ht="30" hidden="1" customHeight="1" thickBot="1" x14ac:dyDescent="0.3">
      <c r="B21" s="202"/>
      <c r="C21" s="203"/>
      <c r="D21" s="204"/>
      <c r="E21" s="205"/>
      <c r="F21" s="299"/>
      <c r="G21" s="206"/>
      <c r="H21" s="207"/>
      <c r="I21" s="208"/>
      <c r="J21" s="205"/>
      <c r="K21" s="209"/>
      <c r="L21" s="210"/>
      <c r="M21" s="211"/>
      <c r="N21" s="211"/>
      <c r="O21" s="212" t="str">
        <f t="shared" si="0"/>
        <v/>
      </c>
      <c r="P21" s="210"/>
      <c r="Q21" s="211"/>
      <c r="R21" s="211"/>
      <c r="S21" s="212" t="str">
        <f t="shared" si="11"/>
        <v/>
      </c>
      <c r="T21" s="213" t="str">
        <f t="shared" si="8"/>
        <v/>
      </c>
      <c r="U21" s="214" t="str">
        <f t="shared" si="9"/>
        <v xml:space="preserve">   </v>
      </c>
      <c r="V21" s="215" t="str">
        <f>IF(E21=0," ",IF(E21="H",IF(H21&lt;=SENIORS_Min,VLOOKUP(K21,Minimas!$A$15:$F$29,6),IF(AND(H21&gt;=U20_Min,H21&lt;=U20_Max),VLOOKUP(K21,Minimas!$A$15:$F$29,5),IF(AND(H21&gt;=U17_Min,H21&lt;=U17_Max),VLOOKUP(K21,Minimas!$A$15:$F$29,4),IF(AND(H21&gt;=U15_Min,H21&lt;=U15_Max),VLOOKUP(K21,Minimas!$A$15:$F$29,3),VLOOKUP(K21,Minimas!$A$15:$F$29,2))))),IF(H21&lt;=SENIORS_Min,VLOOKUP(K21,Minimas!$G$15:$L$29,6),IF(AND(H21&gt;=U20_Min,H21&lt;=U20_Max),VLOOKUP(K21,Minimas!$G$15:$L$29,5),IF(AND(H21&gt;=U17_Min,H21&lt;=U17_Max),VLOOKUP(K21,Minimas!$G$15:$L$29,4),IF(AND(H21&gt;=U15_Min,H21&lt;=U15_Max),VLOOKUP(K21,Minimas!$G$15:$L$29,3),VLOOKUP(K21,Minimas!$G$15:$L$29,2)))))))</f>
        <v xml:space="preserve"> </v>
      </c>
      <c r="W21" s="216" t="str">
        <f t="shared" si="10"/>
        <v/>
      </c>
      <c r="X21" s="82"/>
      <c r="Y21" s="80"/>
      <c r="Z21" s="80"/>
      <c r="AA21" s="57"/>
      <c r="AB21" s="46" t="e">
        <f>T21-HLOOKUP(V21,Minimas!$C$3:$CD$12,2,FALSE)</f>
        <v>#VALUE!</v>
      </c>
      <c r="AC21" s="46" t="e">
        <f>T21-HLOOKUP(V21,Minimas!$C$3:$CD$12,3,FALSE)</f>
        <v>#VALUE!</v>
      </c>
      <c r="AD21" s="46" t="e">
        <f>T21-HLOOKUP(V21,Minimas!$C$3:$CD$12,4,FALSE)</f>
        <v>#VALUE!</v>
      </c>
      <c r="AE21" s="46" t="e">
        <f>T21-HLOOKUP(V21,Minimas!$C$3:$CD$12,5,FALSE)</f>
        <v>#VALUE!</v>
      </c>
      <c r="AF21" s="46" t="e">
        <f>T21-HLOOKUP(V21,Minimas!$C$3:$CD$12,6,FALSE)</f>
        <v>#VALUE!</v>
      </c>
      <c r="AG21" s="46" t="e">
        <f>T21-HLOOKUP(V21,Minimas!$C$3:$CD$12,7,FALSE)</f>
        <v>#VALUE!</v>
      </c>
      <c r="AH21" s="46" t="e">
        <f>T21-HLOOKUP(V21,Minimas!$C$3:$CD$12,8,FALSE)</f>
        <v>#VALUE!</v>
      </c>
      <c r="AI21" s="46" t="e">
        <f>T21-HLOOKUP(V21,Minimas!$C$3:$CD$12,9,FALSE)</f>
        <v>#VALUE!</v>
      </c>
      <c r="AJ21" s="46" t="e">
        <f>T21-HLOOKUP(V21,Minimas!$C$3:$CD$12,10,FALSE)</f>
        <v>#VALUE!</v>
      </c>
      <c r="AK21" s="47" t="str">
        <f t="shared" si="4"/>
        <v xml:space="preserve"> </v>
      </c>
      <c r="AL21" s="47"/>
      <c r="AM21" s="47" t="str">
        <f t="shared" si="5"/>
        <v xml:space="preserve"> </v>
      </c>
      <c r="AN21" s="47" t="str">
        <f t="shared" si="6"/>
        <v xml:space="preserve"> </v>
      </c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</row>
    <row r="22" spans="2:107" s="4" customFormat="1" ht="30" customHeight="1" x14ac:dyDescent="0.25">
      <c r="B22" s="238"/>
      <c r="C22" s="239"/>
      <c r="D22" s="240"/>
      <c r="E22" s="241"/>
      <c r="F22" s="290"/>
      <c r="G22" s="231" t="s">
        <v>154</v>
      </c>
      <c r="H22" s="242"/>
      <c r="I22" s="231" t="s">
        <v>155</v>
      </c>
      <c r="J22" s="243"/>
      <c r="K22" s="244"/>
      <c r="L22" s="352" t="s">
        <v>156</v>
      </c>
      <c r="M22" s="353"/>
      <c r="N22" s="353"/>
      <c r="O22" s="354"/>
      <c r="P22" s="245"/>
      <c r="Q22" s="246"/>
      <c r="R22" s="246"/>
      <c r="S22" s="247" t="str">
        <f t="shared" si="11"/>
        <v/>
      </c>
      <c r="T22" s="356" t="s">
        <v>163</v>
      </c>
      <c r="U22" s="357"/>
      <c r="V22" s="357"/>
      <c r="W22" s="358"/>
      <c r="X22" s="82"/>
      <c r="Y22" s="80"/>
      <c r="Z22" s="80"/>
      <c r="AA22" s="57"/>
      <c r="AB22" s="46" t="e">
        <f>T22-HLOOKUP(V22,Minimas!$C$3:$CD$12,2,FALSE)</f>
        <v>#VALUE!</v>
      </c>
      <c r="AC22" s="46" t="e">
        <f>T22-HLOOKUP(V22,Minimas!$C$3:$CD$12,3,FALSE)</f>
        <v>#VALUE!</v>
      </c>
      <c r="AD22" s="46" t="e">
        <f>T22-HLOOKUP(V22,Minimas!$C$3:$CD$12,4,FALSE)</f>
        <v>#VALUE!</v>
      </c>
      <c r="AE22" s="46" t="e">
        <f>T22-HLOOKUP(V22,Minimas!$C$3:$CD$12,5,FALSE)</f>
        <v>#VALUE!</v>
      </c>
      <c r="AF22" s="46" t="e">
        <f>T22-HLOOKUP(V22,Minimas!$C$3:$CD$12,6,FALSE)</f>
        <v>#VALUE!</v>
      </c>
      <c r="AG22" s="46" t="e">
        <f>T22-HLOOKUP(V22,Minimas!$C$3:$CD$12,7,FALSE)</f>
        <v>#VALUE!</v>
      </c>
      <c r="AH22" s="46" t="e">
        <f>T22-HLOOKUP(V22,Minimas!$C$3:$CD$12,8,FALSE)</f>
        <v>#VALUE!</v>
      </c>
      <c r="AI22" s="46" t="e">
        <f>T22-HLOOKUP(V22,Minimas!$C$3:$CD$12,9,FALSE)</f>
        <v>#VALUE!</v>
      </c>
      <c r="AJ22" s="46" t="e">
        <f>T22-HLOOKUP(V22,Minimas!$C$3:$CD$12,10,FALSE)</f>
        <v>#VALUE!</v>
      </c>
      <c r="AK22" s="47" t="str">
        <f t="shared" si="4"/>
        <v xml:space="preserve"> </v>
      </c>
      <c r="AL22" s="47"/>
      <c r="AM22" s="47" t="str">
        <f t="shared" si="5"/>
        <v xml:space="preserve"> </v>
      </c>
      <c r="AN22" s="47" t="str">
        <f t="shared" si="6"/>
        <v xml:space="preserve"> </v>
      </c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2:107" s="4" customFormat="1" ht="30" customHeight="1" x14ac:dyDescent="0.25">
      <c r="B23" s="248"/>
      <c r="C23" s="76"/>
      <c r="D23" s="77"/>
      <c r="E23" s="226"/>
      <c r="F23" s="291"/>
      <c r="G23" s="237" t="s">
        <v>269</v>
      </c>
      <c r="H23" s="228"/>
      <c r="I23" s="237" t="s">
        <v>264</v>
      </c>
      <c r="J23" s="229"/>
      <c r="K23" s="227"/>
      <c r="L23" s="337" t="s">
        <v>266</v>
      </c>
      <c r="M23" s="338"/>
      <c r="N23" s="338"/>
      <c r="O23" s="339"/>
      <c r="P23" s="230"/>
      <c r="Q23" s="78"/>
      <c r="R23" s="78"/>
      <c r="S23" s="79"/>
      <c r="T23" s="343" t="s">
        <v>293</v>
      </c>
      <c r="U23" s="344"/>
      <c r="V23" s="344"/>
      <c r="W23" s="345"/>
      <c r="X23" s="82"/>
      <c r="Y23" s="80"/>
      <c r="Z23" s="80"/>
      <c r="AA23" s="57"/>
      <c r="AB23" s="46" t="e">
        <f>T23-HLOOKUP(V23,Minimas!$C$3:$CD$12,2,FALSE)</f>
        <v>#VALUE!</v>
      </c>
      <c r="AC23" s="46" t="e">
        <f>T23-HLOOKUP(V23,Minimas!$C$3:$CD$12,3,FALSE)</f>
        <v>#VALUE!</v>
      </c>
      <c r="AD23" s="46" t="e">
        <f>T23-HLOOKUP(V23,Minimas!$C$3:$CD$12,4,FALSE)</f>
        <v>#VALUE!</v>
      </c>
      <c r="AE23" s="46" t="e">
        <f>T23-HLOOKUP(V23,Minimas!$C$3:$CD$12,5,FALSE)</f>
        <v>#VALUE!</v>
      </c>
      <c r="AF23" s="46" t="e">
        <f>T23-HLOOKUP(V23,Minimas!$C$3:$CD$12,6,FALSE)</f>
        <v>#VALUE!</v>
      </c>
      <c r="AG23" s="46" t="e">
        <f>T23-HLOOKUP(V23,Minimas!$C$3:$CD$12,7,FALSE)</f>
        <v>#VALUE!</v>
      </c>
      <c r="AH23" s="46" t="e">
        <f>T23-HLOOKUP(V23,Minimas!$C$3:$CD$12,8,FALSE)</f>
        <v>#VALUE!</v>
      </c>
      <c r="AI23" s="46" t="e">
        <f>T23-HLOOKUP(V23,Minimas!$C$3:$CD$12,9,FALSE)</f>
        <v>#VALUE!</v>
      </c>
      <c r="AJ23" s="46" t="e">
        <f>T23-HLOOKUP(V23,Minimas!$C$3:$CD$12,10,FALSE)</f>
        <v>#VALUE!</v>
      </c>
      <c r="AK23" s="47" t="str">
        <f t="shared" si="4"/>
        <v xml:space="preserve"> </v>
      </c>
      <c r="AL23" s="47"/>
      <c r="AM23" s="47" t="str">
        <f>IF(AK23="","",AK23)</f>
        <v xml:space="preserve"> </v>
      </c>
      <c r="AN23" s="47" t="str">
        <f t="shared" si="6"/>
        <v xml:space="preserve"> </v>
      </c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</row>
    <row r="24" spans="2:107" s="4" customFormat="1" ht="30" customHeight="1" thickBot="1" x14ac:dyDescent="0.3">
      <c r="B24" s="249"/>
      <c r="C24" s="250"/>
      <c r="D24" s="251"/>
      <c r="E24" s="252"/>
      <c r="F24" s="292"/>
      <c r="G24" s="232"/>
      <c r="H24" s="253"/>
      <c r="I24" s="233"/>
      <c r="J24" s="254"/>
      <c r="K24" s="255"/>
      <c r="L24" s="234"/>
      <c r="M24" s="235"/>
      <c r="N24" s="235"/>
      <c r="O24" s="110" t="str">
        <f>IF(E24="","",IF(MAXA(L24:N24)&lt;=0,0,MAXA(L24:N24)))</f>
        <v/>
      </c>
      <c r="P24" s="256"/>
      <c r="Q24" s="235"/>
      <c r="R24" s="235"/>
      <c r="S24" s="110" t="str">
        <f>IF(E24="","",IF(MAXA(P24:R24)&lt;=0,0,MAXA(P24:R24)))</f>
        <v/>
      </c>
      <c r="T24" s="111" t="str">
        <f>IF(E24="","",IF(OR(O24=0,S24=0),0,O24+S24))</f>
        <v/>
      </c>
      <c r="U24" s="112" t="str">
        <f>+CONCATENATE(AM24," ",AN24)</f>
        <v xml:space="preserve">   </v>
      </c>
      <c r="V24" s="236" t="str">
        <f>IF(E24=0," ",IF(E24="H",IF(H24&lt;=SENIORS_Min,VLOOKUP(K24,Minimas!$A$15:$F$29,6),IF(AND(H24&gt;=U20_Min,H24&lt;=U20_Max),VLOOKUP(K24,Minimas!$A$15:$F$29,5),IF(AND(H24&gt;=U17_Min,H24&lt;=U17_Max),VLOOKUP(K24,Minimas!$A$15:$F$29,4),IF(AND(H24&gt;=U15_Min,H24&lt;=U15_Max),VLOOKUP(K24,Minimas!$A$15:$F$29,3),VLOOKUP(K24,Minimas!$A$15:$F$29,2))))),IF(H24&lt;=SENIORS_Min,VLOOKUP(K24,Minimas!$G$15:$L$29,6),IF(AND(H24&gt;=U20_Min,H24&lt;=U20_Max),VLOOKUP(K24,Minimas!$G$15:$L$29,5),IF(AND(H24&gt;=U17_Min,H24&lt;=U17_Max),VLOOKUP(K24,Minimas!$G$15:$L$29,4),IF(AND(H24&gt;=U15_Min,H24&lt;=U15_Max),VLOOKUP(K24,Minimas!$G$15:$L$29,3),VLOOKUP(K24,Minimas!$G$15:$L$29,2)))))))</f>
        <v xml:space="preserve"> </v>
      </c>
      <c r="W24" s="114" t="str">
        <f>IF(E24=" "," ",IF(E24="H",10^(0.722762521*LOG(K24/193.609)^2)*T24,IF(E24="F",10^(0.787004341* LOG(K24/153.757)^2)*T24,"")))</f>
        <v/>
      </c>
      <c r="X24" s="82"/>
      <c r="Y24" s="80"/>
      <c r="Z24" s="80"/>
      <c r="AA24" s="57"/>
      <c r="AB24" s="46" t="e">
        <f>T24-HLOOKUP(V24,Minimas!$C$3:$CD$12,2,FALSE)</f>
        <v>#VALUE!</v>
      </c>
      <c r="AC24" s="46" t="e">
        <f>T24-HLOOKUP(V24,Minimas!$C$3:$CD$12,3,FALSE)</f>
        <v>#VALUE!</v>
      </c>
      <c r="AD24" s="46" t="e">
        <f>T24-HLOOKUP(V24,Minimas!$C$3:$CD$12,4,FALSE)</f>
        <v>#VALUE!</v>
      </c>
      <c r="AE24" s="46" t="e">
        <f>T24-HLOOKUP(V24,Minimas!$C$3:$CD$12,5,FALSE)</f>
        <v>#VALUE!</v>
      </c>
      <c r="AF24" s="46" t="e">
        <f>T24-HLOOKUP(V24,Minimas!$C$3:$CD$12,6,FALSE)</f>
        <v>#VALUE!</v>
      </c>
      <c r="AG24" s="46" t="e">
        <f>T24-HLOOKUP(V24,Minimas!$C$3:$CD$12,7,FALSE)</f>
        <v>#VALUE!</v>
      </c>
      <c r="AH24" s="46" t="e">
        <f>T24-HLOOKUP(V24,Minimas!$C$3:$CD$12,8,FALSE)</f>
        <v>#VALUE!</v>
      </c>
      <c r="AI24" s="46" t="e">
        <f>T24-HLOOKUP(V24,Minimas!$C$3:$CD$12,9,FALSE)</f>
        <v>#VALUE!</v>
      </c>
      <c r="AJ24" s="46" t="e">
        <f>T24-HLOOKUP(V24,Minimas!$C$3:$CD$12,10,FALSE)</f>
        <v>#VALUE!</v>
      </c>
      <c r="AK24" s="47" t="str">
        <f>IF(E24=0," ",IF(AJ24&gt;=0,$AJ$5,IF(AI24&gt;=0,$AI$5,IF(AH24&gt;=0,$AH$5,IF(AG24&gt;=0,$AG$5,IF(AF24&gt;=0,$AF$5,IF(AE24&gt;=0,$AE$5,IF(AD24&gt;=0,$AD$5,IF(AC24&gt;=0,$AC$5,$AB$5)))))))))</f>
        <v xml:space="preserve"> </v>
      </c>
      <c r="AL24" s="47"/>
      <c r="AM24" s="47" t="str">
        <f>IF(AK24="","",AK24)</f>
        <v xml:space="preserve"> </v>
      </c>
      <c r="AN24" s="47" t="str">
        <f>IF(E24=0," ",IF(AJ24&gt;=0,AJ24,IF(AI24&gt;=0,AI24,IF(AH24&gt;=0,AH24,IF(AG24&gt;=0,AG24,IF(AF24&gt;=0,AF24,IF(AE24&gt;=0,AE24,IF(AD24&gt;=0,AD24,IF(AC24&gt;=0,AC24,AB24)))))))))</f>
        <v xml:space="preserve"> </v>
      </c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</row>
    <row r="25" spans="2:107" x14ac:dyDescent="0.25">
      <c r="X25" s="58"/>
    </row>
  </sheetData>
  <mergeCells count="8">
    <mergeCell ref="L23:O23"/>
    <mergeCell ref="T23:W23"/>
    <mergeCell ref="D2:W2"/>
    <mergeCell ref="N3:S3"/>
    <mergeCell ref="V3:W3"/>
    <mergeCell ref="L22:O22"/>
    <mergeCell ref="T22:W22"/>
    <mergeCell ref="D3:M3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63" orientation="landscape" horizontalDpi="300" verticalDpi="300" r:id="rId1"/>
  <headerFooter alignWithMargins="0"/>
  <colBreaks count="1" manualBreakCount="1">
    <brk id="27" max="7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T26"/>
  <sheetViews>
    <sheetView topLeftCell="B9" zoomScale="90" zoomScaleNormal="90" zoomScaleSheetLayoutView="100" workbookViewId="0">
      <selection activeCell="T24" sqref="T24:W24"/>
    </sheetView>
  </sheetViews>
  <sheetFormatPr baseColWidth="10" defaultColWidth="11.44140625" defaultRowHeight="15.6" x14ac:dyDescent="0.25"/>
  <cols>
    <col min="1" max="1" width="1.6640625" style="1" hidden="1" customWidth="1"/>
    <col min="2" max="2" width="5.6640625" style="1" customWidth="1"/>
    <col min="3" max="3" width="9.6640625" style="1" hidden="1" customWidth="1"/>
    <col min="4" max="4" width="6.6640625" style="73" hidden="1" customWidth="1"/>
    <col min="5" max="5" width="6.6640625" style="1" customWidth="1"/>
    <col min="6" max="6" width="23.109375" style="1" bestFit="1" customWidth="1"/>
    <col min="7" max="7" width="14.21875" style="1" bestFit="1" customWidth="1"/>
    <col min="8" max="8" width="5.88671875" style="61" customWidth="1"/>
    <col min="9" max="9" width="34.5546875" style="66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hidden="1" customWidth="1"/>
    <col min="22" max="22" width="12" style="69" hidden="1" customWidth="1"/>
    <col min="23" max="23" width="11.33203125" style="1" customWidth="1"/>
    <col min="24" max="24" width="20.6640625" style="3" customWidth="1"/>
    <col min="25" max="25" width="41" style="3" customWidth="1"/>
    <col min="26" max="26" width="32.109375" style="3" customWidth="1"/>
    <col min="27" max="27" width="13.88671875" style="3" hidden="1" customWidth="1"/>
    <col min="28" max="40" width="11.44140625" style="22" hidden="1" customWidth="1"/>
    <col min="41" max="41" width="0" style="22" hidden="1" customWidth="1"/>
    <col min="42" max="107" width="11.44140625" style="22"/>
    <col min="108" max="16384" width="11.44140625" style="1"/>
  </cols>
  <sheetData>
    <row r="1" spans="1:124" ht="5.0999999999999996" customHeight="1" x14ac:dyDescent="0.25"/>
    <row r="2" spans="1:124" s="7" customFormat="1" ht="30" customHeight="1" x14ac:dyDescent="0.25">
      <c r="D2" s="346" t="s">
        <v>127</v>
      </c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8"/>
      <c r="X2" s="55"/>
      <c r="Y2" s="55"/>
      <c r="Z2" s="55"/>
      <c r="AA2" s="5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</row>
    <row r="3" spans="1:124" s="7" customFormat="1" ht="30" customHeight="1" x14ac:dyDescent="0.25">
      <c r="D3" s="309" t="s">
        <v>164</v>
      </c>
      <c r="E3" s="310"/>
      <c r="F3" s="310"/>
      <c r="G3" s="349" t="s">
        <v>263</v>
      </c>
      <c r="H3" s="349"/>
      <c r="I3" s="349"/>
      <c r="J3" s="349"/>
      <c r="K3" s="349"/>
      <c r="L3" s="349"/>
      <c r="M3" s="349"/>
      <c r="N3" s="349"/>
      <c r="O3" s="349"/>
      <c r="P3" s="349" t="s">
        <v>128</v>
      </c>
      <c r="Q3" s="349"/>
      <c r="R3" s="349"/>
      <c r="S3" s="349"/>
      <c r="T3" s="349"/>
      <c r="U3" s="70"/>
      <c r="V3" s="350">
        <v>46193</v>
      </c>
      <c r="W3" s="351"/>
      <c r="X3" s="55"/>
      <c r="Y3" s="55"/>
      <c r="Z3" s="55"/>
      <c r="AA3" s="55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</row>
    <row r="4" spans="1:124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56"/>
      <c r="AA4" s="56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</row>
    <row r="5" spans="1:124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136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64"/>
      <c r="AA5" s="65"/>
      <c r="AB5" s="48" t="s">
        <v>105</v>
      </c>
      <c r="AC5" s="48" t="s">
        <v>106</v>
      </c>
      <c r="AD5" s="48" t="s">
        <v>107</v>
      </c>
      <c r="AE5" s="48" t="s">
        <v>108</v>
      </c>
      <c r="AF5" s="48" t="s">
        <v>109</v>
      </c>
      <c r="AG5" s="48" t="s">
        <v>110</v>
      </c>
      <c r="AH5" s="48" t="s">
        <v>111</v>
      </c>
      <c r="AI5" s="48" t="s">
        <v>112</v>
      </c>
      <c r="AJ5" s="48" t="s">
        <v>113</v>
      </c>
      <c r="AK5" s="44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</row>
    <row r="6" spans="1:124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56"/>
      <c r="AA6" s="56"/>
      <c r="AB6" s="45" t="s">
        <v>114</v>
      </c>
      <c r="AC6" s="45" t="s">
        <v>115</v>
      </c>
      <c r="AD6" s="45" t="s">
        <v>107</v>
      </c>
      <c r="AE6" s="45" t="s">
        <v>108</v>
      </c>
      <c r="AF6" s="45" t="s">
        <v>109</v>
      </c>
      <c r="AG6" s="45" t="s">
        <v>110</v>
      </c>
      <c r="AH6" s="45" t="s">
        <v>111</v>
      </c>
      <c r="AI6" s="45" t="s">
        <v>112</v>
      </c>
      <c r="AJ6" s="45" t="s">
        <v>113</v>
      </c>
      <c r="AK6" s="45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</row>
    <row r="7" spans="1:124" s="4" customFormat="1" ht="30" customHeight="1" x14ac:dyDescent="0.25">
      <c r="B7" s="188">
        <v>12</v>
      </c>
      <c r="C7" s="189"/>
      <c r="D7" s="190"/>
      <c r="E7" s="191" t="s">
        <v>126</v>
      </c>
      <c r="F7" s="303" t="s">
        <v>214</v>
      </c>
      <c r="G7" s="303" t="s">
        <v>175</v>
      </c>
      <c r="H7" s="303">
        <v>2001</v>
      </c>
      <c r="I7" s="296" t="s">
        <v>188</v>
      </c>
      <c r="J7" s="191" t="s">
        <v>270</v>
      </c>
      <c r="K7" s="194">
        <v>52.58</v>
      </c>
      <c r="L7" s="195">
        <v>67</v>
      </c>
      <c r="M7" s="195">
        <v>70</v>
      </c>
      <c r="N7" s="195">
        <v>-73</v>
      </c>
      <c r="O7" s="279">
        <f t="shared" ref="O7:O22" si="0">IF(E7="","",IF(MAXA(L7:N7)&lt;=0,0,MAXA(L7:N7)))</f>
        <v>70</v>
      </c>
      <c r="P7" s="195">
        <v>82</v>
      </c>
      <c r="Q7" s="195">
        <v>85</v>
      </c>
      <c r="R7" s="195">
        <v>-88</v>
      </c>
      <c r="S7" s="196">
        <f t="shared" ref="S7:S23" si="1">IF(E7="","",IF(MAXA(P7:R7)&lt;=0,0,MAXA(P7:R7)))</f>
        <v>85</v>
      </c>
      <c r="T7" s="197">
        <f t="shared" ref="T7:T22" si="2">IF(E7="","",IF(OR(O7=0,S7=0),0,O7+S7))</f>
        <v>155</v>
      </c>
      <c r="U7" s="198" t="e">
        <f t="shared" ref="U7:U22" si="3">+CONCATENATE(AM7," ",AN7)</f>
        <v>#N/A</v>
      </c>
      <c r="V7" s="199" t="str">
        <f>IF(E7=0," ",IF(E7="H",IF(H7&lt;=SENIORS_Min,VLOOKUP(K7,Minimas!$A$15:$F$29,6),IF(AND(H7&gt;=U20_Min,H7&lt;=U20_Max),VLOOKUP(K7,Minimas!$A$15:$F$29,5),IF(AND(H7&gt;=U17_Min,H7&lt;=U17_Max),VLOOKUP(K7,Minimas!$A$15:$F$29,4),IF(AND(H7&gt;=U15_Min,H7&lt;=U15_Max),VLOOKUP(K7,Minimas!$A$15:$F$29,3),VLOOKUP(K7,Minimas!$A$15:$F$29,2))))),IF(H7&lt;=SENIORS_Min,VLOOKUP(K7,Minimas!$G$15:$L$29,6),IF(AND(H7&gt;=U20_Min,H7&lt;=U20_Max),VLOOKUP(K7,Minimas!$G$15:$L$29,5),IF(AND(H7&gt;=U17_Min,H7&lt;=U17_Max),VLOOKUP(K7,Minimas!$G$15:$L$29,4),IF(AND(H7&gt;=U15_Min,H7&lt;=U15_Max),VLOOKUP(K7,Minimas!$G$15:$L$29,3),VLOOKUP(K7,Minimas!$G$15:$L$29,2)))))))</f>
        <v>SE F53</v>
      </c>
      <c r="W7" s="200">
        <f t="shared" ref="W7:W22" si="4">IF(E7=" "," ",IF(E7="H",10^(0.722762521*LOG(K7/193.609)^2)*T7,IF(E7="F",10^(0.787004341* LOG(K7/153.757)^2)*T7,"")))</f>
        <v>229.74438866807503</v>
      </c>
      <c r="X7" s="82"/>
      <c r="Y7" s="80"/>
      <c r="Z7" s="80"/>
      <c r="AA7" s="57"/>
      <c r="AB7" s="46" t="e">
        <f>T7-HLOOKUP(V7,Minimas!$C$3:$CD$12,2,FALSE)</f>
        <v>#N/A</v>
      </c>
      <c r="AC7" s="46" t="e">
        <f>T7-HLOOKUP(V7,Minimas!$C$3:$CD$12,3,FALSE)</f>
        <v>#N/A</v>
      </c>
      <c r="AD7" s="46" t="e">
        <f>T7-HLOOKUP(V7,Minimas!$C$3:$CD$12,4,FALSE)</f>
        <v>#N/A</v>
      </c>
      <c r="AE7" s="46" t="e">
        <f>T7-HLOOKUP(V7,Minimas!$C$3:$CD$12,5,FALSE)</f>
        <v>#N/A</v>
      </c>
      <c r="AF7" s="46" t="e">
        <f>T7-HLOOKUP(V7,Minimas!$C$3:$CD$12,6,FALSE)</f>
        <v>#N/A</v>
      </c>
      <c r="AG7" s="46" t="e">
        <f>T7-HLOOKUP(V7,Minimas!$C$3:$CD$12,7,FALSE)</f>
        <v>#N/A</v>
      </c>
      <c r="AH7" s="46" t="e">
        <f>T7-HLOOKUP(V7,Minimas!$C$3:$CD$12,8,FALSE)</f>
        <v>#N/A</v>
      </c>
      <c r="AI7" s="46" t="e">
        <f>T7-HLOOKUP(V7,Minimas!$C$3:$CD$12,9,FALSE)</f>
        <v>#N/A</v>
      </c>
      <c r="AJ7" s="46" t="e">
        <f>T7-HLOOKUP(V7,Minimas!$C$3:$CD$12,10,FALSE)</f>
        <v>#N/A</v>
      </c>
      <c r="AK7" s="47" t="e">
        <f t="shared" ref="AK7:AK23" si="5">IF(E7=0," ",IF(AJ7&gt;=0,$AJ$5,IF(AI7&gt;=0,$AI$5,IF(AH7&gt;=0,$AH$5,IF(AG7&gt;=0,$AG$5,IF(AF7&gt;=0,$AF$5,IF(AE7&gt;=0,$AE$5,IF(AD7&gt;=0,$AD$5,IF(AC7&gt;=0,$AC$5,$AB$5)))))))))</f>
        <v>#N/A</v>
      </c>
      <c r="AL7" s="47"/>
      <c r="AM7" s="47" t="e">
        <f t="shared" ref="AM7:AM23" si="6">IF(AK7="","",AK7)</f>
        <v>#N/A</v>
      </c>
      <c r="AN7" s="47" t="e">
        <f t="shared" ref="AN7:AN23" si="7">IF(E7=0," ",IF(AJ7&gt;=0,AJ7,IF(AI7&gt;=0,AI7,IF(AH7&gt;=0,AH7,IF(AG7&gt;=0,AG7,IF(AF7&gt;=0,AF7,IF(AE7&gt;=0,AE7,IF(AD7&gt;=0,AD7,IF(AC7&gt;=0,AC7,AB7)))))))))</f>
        <v>#N/A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</row>
    <row r="8" spans="1:124" s="4" customFormat="1" ht="30" customHeight="1" x14ac:dyDescent="0.25">
      <c r="B8" s="188">
        <v>13</v>
      </c>
      <c r="C8" s="189"/>
      <c r="D8" s="190"/>
      <c r="E8" s="191" t="s">
        <v>126</v>
      </c>
      <c r="F8" s="296" t="s">
        <v>215</v>
      </c>
      <c r="G8" s="296" t="s">
        <v>216</v>
      </c>
      <c r="H8" s="296">
        <v>2009</v>
      </c>
      <c r="I8" s="296" t="s">
        <v>181</v>
      </c>
      <c r="J8" s="191" t="s">
        <v>270</v>
      </c>
      <c r="K8" s="194">
        <v>72.650000000000006</v>
      </c>
      <c r="L8" s="195">
        <v>72</v>
      </c>
      <c r="M8" s="195">
        <v>-74</v>
      </c>
      <c r="N8" s="195">
        <v>-74</v>
      </c>
      <c r="O8" s="279">
        <f t="shared" si="0"/>
        <v>72</v>
      </c>
      <c r="P8" s="195">
        <v>-90</v>
      </c>
      <c r="Q8" s="195">
        <v>-90</v>
      </c>
      <c r="R8" s="195">
        <v>-90</v>
      </c>
      <c r="S8" s="196">
        <f>IF(E8="","",IF(MAXA(P8:R8)&lt;=0,0,MAXA(P8:R8)))</f>
        <v>0</v>
      </c>
      <c r="T8" s="197">
        <v>72</v>
      </c>
      <c r="U8" s="198" t="str">
        <f t="shared" ref="U8" si="8">+CONCATENATE(AM8," ",AN8)</f>
        <v>DPT + 7</v>
      </c>
      <c r="V8" s="199" t="str">
        <f>IF(E8=0," ",IF(E8="H",IF(H8&lt;=SENIORS_Min,VLOOKUP(K8,Minimas!$A$15:$F$29,6),IF(AND(H8&gt;=U20_Min,H8&lt;=U20_Max),VLOOKUP(K8,Minimas!$A$15:$F$29,5),IF(AND(H8&gt;=U17_Min,H8&lt;=U17_Max),VLOOKUP(K8,Minimas!$A$15:$F$29,4),IF(AND(H8&gt;=U15_Min,H8&lt;=U15_Max),VLOOKUP(K8,Minimas!$A$15:$F$29,3),VLOOKUP(K8,Minimas!$A$15:$F$29,2))))),IF(H8&lt;=SENIORS_Min,VLOOKUP(K8,Minimas!$G$15:$L$29,6),IF(AND(H8&gt;=U20_Min,H8&lt;=U20_Max),VLOOKUP(K8,Minimas!$G$15:$L$29,5),IF(AND(H8&gt;=U17_Min,H8&lt;=U17_Max),VLOOKUP(K8,Minimas!$G$15:$L$29,4),IF(AND(H8&gt;=U15_Min,H8&lt;=U15_Max),VLOOKUP(K8,Minimas!$G$15:$L$29,3),VLOOKUP(K8,Minimas!$G$15:$L$29,2)))))))</f>
        <v>U15 F76</v>
      </c>
      <c r="W8" s="200">
        <f t="shared" ref="W8" si="9">IF(E8=" "," ",IF(E8="H",10^(0.722762521*LOG(K8/193.609)^2)*T8,IF(E8="F",10^(0.787004341* LOG(K8/153.757)^2)*T8,"")))</f>
        <v>87.250248990820992</v>
      </c>
      <c r="X8" s="82"/>
      <c r="Y8" s="80"/>
      <c r="Z8" s="80"/>
      <c r="AA8" s="57"/>
      <c r="AB8" s="46">
        <f>T8-HLOOKUP(V8,Minimas!$C$3:$CD$12,2,FALSE)</f>
        <v>17</v>
      </c>
      <c r="AC8" s="46">
        <f>T8-HLOOKUP(V8,Minimas!$C$3:$CD$12,3,FALSE)</f>
        <v>7</v>
      </c>
      <c r="AD8" s="46">
        <f>T8-HLOOKUP(V8,Minimas!$C$3:$CD$12,4,FALSE)</f>
        <v>-3</v>
      </c>
      <c r="AE8" s="46">
        <f>T8-HLOOKUP(V8,Minimas!$C$3:$CD$12,5,FALSE)</f>
        <v>-15</v>
      </c>
      <c r="AF8" s="46">
        <f>T8-HLOOKUP(V8,Minimas!$C$3:$CD$12,6,FALSE)</f>
        <v>-33</v>
      </c>
      <c r="AG8" s="46">
        <f>T8-HLOOKUP(V8,Minimas!$C$3:$CD$12,7,FALSE)</f>
        <v>-48</v>
      </c>
      <c r="AH8" s="46">
        <f>T8-HLOOKUP(V8,Minimas!$C$3:$CD$12,8,FALSE)</f>
        <v>-60</v>
      </c>
      <c r="AI8" s="46">
        <f>T8-HLOOKUP(V8,Minimas!$C$3:$CD$12,9,FALSE)</f>
        <v>-80</v>
      </c>
      <c r="AJ8" s="46">
        <f>T8-HLOOKUP(V8,Minimas!$C$3:$CD$12,10,FALSE)</f>
        <v>-9927</v>
      </c>
      <c r="AK8" s="47" t="str">
        <f t="shared" ref="AK8" si="10">IF(E8=0," ",IF(AJ8&gt;=0,$AJ$5,IF(AI8&gt;=0,$AI$5,IF(AH8&gt;=0,$AH$5,IF(AG8&gt;=0,$AG$5,IF(AF8&gt;=0,$AF$5,IF(AE8&gt;=0,$AE$5,IF(AD8&gt;=0,$AD$5,IF(AC8&gt;=0,$AC$5,$AB$5)))))))))</f>
        <v>DPT +</v>
      </c>
      <c r="AL8" s="47"/>
      <c r="AM8" s="47" t="str">
        <f t="shared" ref="AM8" si="11">IF(AK8="","",AK8)</f>
        <v>DPT +</v>
      </c>
      <c r="AN8" s="47">
        <f t="shared" ref="AN8" si="12">IF(E8=0," ",IF(AJ8&gt;=0,AJ8,IF(AI8&gt;=0,AI8,IF(AH8&gt;=0,AH8,IF(AG8&gt;=0,AG8,IF(AF8&gt;=0,AF8,IF(AE8&gt;=0,AE8,IF(AD8&gt;=0,AD8,IF(AC8&gt;=0,AC8,AB8)))))))))</f>
        <v>7</v>
      </c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</row>
    <row r="9" spans="1:124" s="4" customFormat="1" ht="30" customHeight="1" x14ac:dyDescent="0.25">
      <c r="B9" s="188">
        <v>14</v>
      </c>
      <c r="C9" s="189"/>
      <c r="D9" s="190"/>
      <c r="E9" s="191" t="s">
        <v>126</v>
      </c>
      <c r="F9" s="307" t="s">
        <v>217</v>
      </c>
      <c r="G9" s="296" t="s">
        <v>218</v>
      </c>
      <c r="H9" s="296">
        <v>2005</v>
      </c>
      <c r="I9" s="296" t="s">
        <v>219</v>
      </c>
      <c r="J9" s="191" t="s">
        <v>274</v>
      </c>
      <c r="K9" s="194">
        <v>65.05</v>
      </c>
      <c r="L9" s="195">
        <v>72</v>
      </c>
      <c r="M9" s="195">
        <v>75</v>
      </c>
      <c r="N9" s="195">
        <v>77</v>
      </c>
      <c r="O9" s="279">
        <f t="shared" si="0"/>
        <v>77</v>
      </c>
      <c r="P9" s="195">
        <v>90</v>
      </c>
      <c r="Q9" s="195">
        <v>95</v>
      </c>
      <c r="R9" s="195">
        <v>98</v>
      </c>
      <c r="S9" s="196">
        <f t="shared" si="1"/>
        <v>98</v>
      </c>
      <c r="T9" s="197">
        <f t="shared" si="2"/>
        <v>175</v>
      </c>
      <c r="U9" s="198" t="str">
        <f t="shared" si="3"/>
        <v>INTB + 8</v>
      </c>
      <c r="V9" s="199" t="str">
        <f>IF(E9=0," ",IF(E9="H",IF(H9&lt;=SENIORS_Min,VLOOKUP(K9,Minimas!$A$15:$F$29,6),IF(AND(H9&gt;=U20_Min,H9&lt;=U20_Max),VLOOKUP(K9,Minimas!$A$15:$F$29,5),IF(AND(H9&gt;=U17_Min,H9&lt;=U17_Max),VLOOKUP(K9,Minimas!$A$15:$F$29,4),IF(AND(H9&gt;=U15_Min,H9&lt;=U15_Max),VLOOKUP(K9,Minimas!$A$15:$F$29,3),VLOOKUP(K9,Minimas!$A$15:$F$29,2))))),IF(H9&lt;=SENIORS_Min,VLOOKUP(K9,Minimas!$G$15:$L$29,6),IF(AND(H9&gt;=U20_Min,H9&lt;=U20_Max),VLOOKUP(K9,Minimas!$G$15:$L$29,5),IF(AND(H9&gt;=U17_Min,H9&lt;=U17_Max),VLOOKUP(K9,Minimas!$G$15:$L$29,4),IF(AND(H9&gt;=U15_Min,H9&lt;=U15_Max),VLOOKUP(K9,Minimas!$G$15:$L$29,3),VLOOKUP(K9,Minimas!$G$15:$L$29,2)))))))</f>
        <v>U20 F71</v>
      </c>
      <c r="W9" s="200">
        <f t="shared" si="4"/>
        <v>225.36082714558728</v>
      </c>
      <c r="X9" s="82"/>
      <c r="Y9" s="80"/>
      <c r="Z9" s="80"/>
      <c r="AA9" s="57"/>
      <c r="AB9" s="46">
        <f>T9-HLOOKUP(V9,Minimas!$C$3:$CD$12,2,FALSE)</f>
        <v>110</v>
      </c>
      <c r="AC9" s="46">
        <f>T9-HLOOKUP(V9,Minimas!$C$3:$CD$12,3,FALSE)</f>
        <v>95</v>
      </c>
      <c r="AD9" s="46">
        <f>T9-HLOOKUP(V9,Minimas!$C$3:$CD$12,4,FALSE)</f>
        <v>80</v>
      </c>
      <c r="AE9" s="46">
        <f>T9-HLOOKUP(V9,Minimas!$C$3:$CD$12,5,FALSE)</f>
        <v>65</v>
      </c>
      <c r="AF9" s="46">
        <f>T9-HLOOKUP(V9,Minimas!$C$3:$CD$12,6,FALSE)</f>
        <v>50</v>
      </c>
      <c r="AG9" s="46">
        <f>T9-HLOOKUP(V9,Minimas!$C$3:$CD$12,7,FALSE)</f>
        <v>30</v>
      </c>
      <c r="AH9" s="46">
        <f>T9-HLOOKUP(V9,Minimas!$C$3:$CD$12,8,FALSE)</f>
        <v>8</v>
      </c>
      <c r="AI9" s="46">
        <f>T9-HLOOKUP(V9,Minimas!$C$3:$CD$12,9,FALSE)</f>
        <v>-15</v>
      </c>
      <c r="AJ9" s="46">
        <f>T9-HLOOKUP(V9,Minimas!$C$3:$CD$12,10,FALSE)</f>
        <v>-9824</v>
      </c>
      <c r="AK9" s="47" t="str">
        <f t="shared" si="5"/>
        <v>INTB +</v>
      </c>
      <c r="AL9" s="47"/>
      <c r="AM9" s="47" t="str">
        <f t="shared" si="6"/>
        <v>INTB +</v>
      </c>
      <c r="AN9" s="47">
        <f t="shared" si="7"/>
        <v>8</v>
      </c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</row>
    <row r="10" spans="1:124" s="4" customFormat="1" ht="30" customHeight="1" x14ac:dyDescent="0.25">
      <c r="B10" s="188">
        <v>15</v>
      </c>
      <c r="C10" s="189"/>
      <c r="D10" s="190"/>
      <c r="E10" s="191" t="s">
        <v>126</v>
      </c>
      <c r="F10" s="296" t="s">
        <v>220</v>
      </c>
      <c r="G10" s="296" t="s">
        <v>221</v>
      </c>
      <c r="H10" s="296">
        <v>1994</v>
      </c>
      <c r="I10" s="296" t="s">
        <v>157</v>
      </c>
      <c r="J10" s="191" t="s">
        <v>270</v>
      </c>
      <c r="K10" s="194">
        <v>58.05</v>
      </c>
      <c r="L10" s="195">
        <v>68</v>
      </c>
      <c r="M10" s="195">
        <v>71</v>
      </c>
      <c r="N10" s="195">
        <v>73</v>
      </c>
      <c r="O10" s="279">
        <f t="shared" si="0"/>
        <v>73</v>
      </c>
      <c r="P10" s="195">
        <v>-90</v>
      </c>
      <c r="Q10" s="195">
        <v>90</v>
      </c>
      <c r="R10" s="195">
        <v>-95</v>
      </c>
      <c r="S10" s="196">
        <f t="shared" si="1"/>
        <v>90</v>
      </c>
      <c r="T10" s="197">
        <f t="shared" si="2"/>
        <v>163</v>
      </c>
      <c r="U10" s="198" t="str">
        <f t="shared" si="3"/>
        <v>NAT + 8</v>
      </c>
      <c r="V10" s="199" t="str">
        <f>IF(E10=0," ",IF(E10="H",IF(H10&lt;=SENIORS_Min,VLOOKUP(K10,Minimas!$A$15:$F$29,6),IF(AND(H10&gt;=U20_Min,H10&lt;=U20_Max),VLOOKUP(K10,Minimas!$A$15:$F$29,5),IF(AND(H10&gt;=U17_Min,H10&lt;=U17_Max),VLOOKUP(K10,Minimas!$A$15:$F$29,4),IF(AND(H10&gt;=U15_Min,H10&lt;=U15_Max),VLOOKUP(K10,Minimas!$A$15:$F$29,3),VLOOKUP(K10,Minimas!$A$15:$F$29,2))))),IF(H10&lt;=SENIORS_Min,VLOOKUP(K10,Minimas!$G$15:$L$29,6),IF(AND(H10&gt;=U20_Min,H10&lt;=U20_Max),VLOOKUP(K10,Minimas!$G$15:$L$29,5),IF(AND(H10&gt;=U17_Min,H10&lt;=U17_Max),VLOOKUP(K10,Minimas!$G$15:$L$29,4),IF(AND(H10&gt;=U15_Min,H10&lt;=U15_Max),VLOOKUP(K10,Minimas!$G$15:$L$29,3),VLOOKUP(K10,Minimas!$G$15:$L$29,2)))))))</f>
        <v>SE F59</v>
      </c>
      <c r="W10" s="200">
        <f t="shared" si="4"/>
        <v>225.43807046289649</v>
      </c>
      <c r="X10" s="82"/>
      <c r="Y10" s="80"/>
      <c r="Z10" s="80"/>
      <c r="AA10" s="57"/>
      <c r="AB10" s="46">
        <f>T10-HLOOKUP(V10,Minimas!$C$3:$CD$12,2,FALSE)</f>
        <v>98</v>
      </c>
      <c r="AC10" s="46">
        <f>T10-HLOOKUP(V10,Minimas!$C$3:$CD$12,3,FALSE)</f>
        <v>83</v>
      </c>
      <c r="AD10" s="46">
        <f>T10-HLOOKUP(V10,Minimas!$C$3:$CD$12,4,FALSE)</f>
        <v>71</v>
      </c>
      <c r="AE10" s="46">
        <f>T10-HLOOKUP(V10,Minimas!$C$3:$CD$12,5,FALSE)</f>
        <v>51</v>
      </c>
      <c r="AF10" s="46">
        <f>T10-HLOOKUP(V10,Minimas!$C$3:$CD$12,6,FALSE)</f>
        <v>23</v>
      </c>
      <c r="AG10" s="46">
        <f>T10-HLOOKUP(V10,Minimas!$C$3:$CD$12,7,FALSE)</f>
        <v>8</v>
      </c>
      <c r="AH10" s="46">
        <f>T10-HLOOKUP(V10,Minimas!$C$3:$CD$12,8,FALSE)</f>
        <v>-12</v>
      </c>
      <c r="AI10" s="46">
        <f>T10-HLOOKUP(V10,Minimas!$C$3:$CD$12,9,FALSE)</f>
        <v>-37</v>
      </c>
      <c r="AJ10" s="46">
        <f>T10-HLOOKUP(V10,Minimas!$C$3:$CD$12,10,FALSE)</f>
        <v>-9836</v>
      </c>
      <c r="AK10" s="47" t="str">
        <f t="shared" si="5"/>
        <v>NAT +</v>
      </c>
      <c r="AL10" s="47"/>
      <c r="AM10" s="47" t="str">
        <f t="shared" si="6"/>
        <v>NAT +</v>
      </c>
      <c r="AN10" s="47">
        <f t="shared" si="7"/>
        <v>8</v>
      </c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</row>
    <row r="11" spans="1:124" s="4" customFormat="1" ht="27.6" customHeight="1" x14ac:dyDescent="0.25">
      <c r="B11" s="188">
        <v>16</v>
      </c>
      <c r="C11" s="189"/>
      <c r="D11" s="190"/>
      <c r="E11" s="191" t="s">
        <v>130</v>
      </c>
      <c r="F11" s="296" t="s">
        <v>222</v>
      </c>
      <c r="G11" s="296" t="s">
        <v>223</v>
      </c>
      <c r="H11" s="296">
        <v>2006</v>
      </c>
      <c r="I11" s="296" t="s">
        <v>169</v>
      </c>
      <c r="J11" s="191" t="s">
        <v>270</v>
      </c>
      <c r="K11" s="194">
        <v>56.6</v>
      </c>
      <c r="L11" s="195">
        <v>74</v>
      </c>
      <c r="M11" s="195">
        <v>-77</v>
      </c>
      <c r="N11" s="195">
        <v>-77</v>
      </c>
      <c r="O11" s="279">
        <f t="shared" si="0"/>
        <v>74</v>
      </c>
      <c r="P11" s="195">
        <v>91</v>
      </c>
      <c r="Q11" s="195">
        <v>-95</v>
      </c>
      <c r="R11" s="195">
        <v>-95</v>
      </c>
      <c r="S11" s="196">
        <f t="shared" si="1"/>
        <v>91</v>
      </c>
      <c r="T11" s="197">
        <f t="shared" si="2"/>
        <v>165</v>
      </c>
      <c r="U11" s="198" t="str">
        <f t="shared" si="3"/>
        <v>INTA + 15</v>
      </c>
      <c r="V11" s="199" t="str">
        <f>IF(E11=0," ",IF(E11="H",IF(H11&lt;=SENIORS_Min,VLOOKUP(K11,Minimas!$A$15:$F$29,6),IF(AND(H11&gt;=U20_Min,H11&lt;=U20_Max),VLOOKUP(K11,Minimas!$A$15:$F$29,5),IF(AND(H11&gt;=U17_Min,H11&lt;=U17_Max),VLOOKUP(K11,Minimas!$A$15:$F$29,4),IF(AND(H11&gt;=U15_Min,H11&lt;=U15_Max),VLOOKUP(K11,Minimas!$A$15:$F$29,3),VLOOKUP(K11,Minimas!$A$15:$F$29,2))))),IF(H11&lt;=SENIORS_Min,VLOOKUP(K11,Minimas!$G$15:$L$29,6),IF(AND(H11&gt;=U20_Min,H11&lt;=U20_Max),VLOOKUP(K11,Minimas!$G$15:$L$29,5),IF(AND(H11&gt;=U17_Min,H11&lt;=U17_Max),VLOOKUP(K11,Minimas!$G$15:$L$29,4),IF(AND(H11&gt;=U15_Min,H11&lt;=U15_Max),VLOOKUP(K11,Minimas!$G$15:$L$29,3),VLOOKUP(K11,Minimas!$G$15:$L$29,2)))))))</f>
        <v>U17 F59</v>
      </c>
      <c r="W11" s="200">
        <f t="shared" si="4"/>
        <v>232.13121701863881</v>
      </c>
      <c r="X11" s="81"/>
      <c r="Y11" s="75"/>
      <c r="Z11" s="75"/>
      <c r="AA11" s="57"/>
      <c r="AB11" s="46">
        <f>T11-HLOOKUP(V11,Minimas!$C$3:$CD$12,2,FALSE)</f>
        <v>115</v>
      </c>
      <c r="AC11" s="46">
        <f>T11-HLOOKUP(V11,Minimas!$C$3:$CD$12,3,FALSE)</f>
        <v>105</v>
      </c>
      <c r="AD11" s="46">
        <f>T11-HLOOKUP(V11,Minimas!$C$3:$CD$12,4,FALSE)</f>
        <v>95</v>
      </c>
      <c r="AE11" s="46">
        <f>T11-HLOOKUP(V11,Minimas!$C$3:$CD$12,5,FALSE)</f>
        <v>83</v>
      </c>
      <c r="AF11" s="46">
        <f>T11-HLOOKUP(V11,Minimas!$C$3:$CD$12,6,FALSE)</f>
        <v>63</v>
      </c>
      <c r="AG11" s="46">
        <f>T11-HLOOKUP(V11,Minimas!$C$3:$CD$12,7,FALSE)</f>
        <v>50</v>
      </c>
      <c r="AH11" s="46">
        <f>T11-HLOOKUP(V11,Minimas!$C$3:$CD$12,8,FALSE)</f>
        <v>35</v>
      </c>
      <c r="AI11" s="46">
        <f>T11-HLOOKUP(V11,Minimas!$C$3:$CD$12,9,FALSE)</f>
        <v>15</v>
      </c>
      <c r="AJ11" s="46">
        <f>T11-HLOOKUP(V11,Minimas!$C$3:$CD$12,10,FALSE)</f>
        <v>-9834</v>
      </c>
      <c r="AK11" s="47" t="str">
        <f t="shared" si="5"/>
        <v>INTA +</v>
      </c>
      <c r="AL11" s="47"/>
      <c r="AM11" s="47" t="str">
        <f t="shared" si="6"/>
        <v>INTA +</v>
      </c>
      <c r="AN11" s="47">
        <f t="shared" si="7"/>
        <v>15</v>
      </c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</row>
    <row r="12" spans="1:124" s="4" customFormat="1" ht="30" customHeight="1" x14ac:dyDescent="0.25">
      <c r="B12" s="188">
        <v>17</v>
      </c>
      <c r="C12" s="189"/>
      <c r="D12" s="190"/>
      <c r="E12" s="311" t="s">
        <v>130</v>
      </c>
      <c r="F12" s="307" t="s">
        <v>224</v>
      </c>
      <c r="G12" s="296" t="s">
        <v>225</v>
      </c>
      <c r="H12" s="296">
        <v>2002</v>
      </c>
      <c r="I12" s="296" t="s">
        <v>219</v>
      </c>
      <c r="J12" s="191" t="s">
        <v>274</v>
      </c>
      <c r="K12" s="312">
        <v>76.23</v>
      </c>
      <c r="L12" s="195">
        <v>-76</v>
      </c>
      <c r="M12" s="195">
        <v>-76</v>
      </c>
      <c r="N12" s="195">
        <v>76</v>
      </c>
      <c r="O12" s="279">
        <f t="shared" si="0"/>
        <v>76</v>
      </c>
      <c r="P12" s="195">
        <v>100</v>
      </c>
      <c r="Q12" s="195">
        <v>104</v>
      </c>
      <c r="R12" s="195">
        <v>-108</v>
      </c>
      <c r="S12" s="196">
        <f t="shared" si="1"/>
        <v>104</v>
      </c>
      <c r="T12" s="197">
        <f t="shared" si="2"/>
        <v>180</v>
      </c>
      <c r="U12" s="198" t="str">
        <f t="shared" si="3"/>
        <v>NAT + 0</v>
      </c>
      <c r="V12" s="199" t="str">
        <f>IF(E12=0," ",IF(E12="H",IF(H12&lt;=SENIORS_Min,VLOOKUP(K12,Minimas!$A$15:$F$29,6),IF(AND(H12&gt;=U20_Min,H12&lt;=U20_Max),VLOOKUP(K12,Minimas!$A$15:$F$29,5),IF(AND(H12&gt;=U17_Min,H12&lt;=U17_Max),VLOOKUP(K12,Minimas!$A$15:$F$29,4),IF(AND(H12&gt;=U15_Min,H12&lt;=U15_Max),VLOOKUP(K12,Minimas!$A$15:$F$29,3),VLOOKUP(K12,Minimas!$A$15:$F$29,2))))),IF(H12&lt;=SENIORS_Min,VLOOKUP(K12,Minimas!$G$15:$L$29,6),IF(AND(H12&gt;=U20_Min,H12&lt;=U20_Max),VLOOKUP(K12,Minimas!$G$15:$L$29,5),IF(AND(H12&gt;=U17_Min,H12&lt;=U17_Max),VLOOKUP(K12,Minimas!$G$15:$L$29,4),IF(AND(H12&gt;=U15_Min,H12&lt;=U15_Max),VLOOKUP(K12,Minimas!$G$15:$L$29,3),VLOOKUP(K12,Minimas!$G$15:$L$29,2)))))))</f>
        <v>SE F81</v>
      </c>
      <c r="W12" s="200">
        <f t="shared" si="4"/>
        <v>212.98250877271587</v>
      </c>
      <c r="X12" s="82"/>
      <c r="Y12" s="80"/>
      <c r="Z12" s="80"/>
      <c r="AA12" s="57"/>
      <c r="AB12" s="46">
        <f>T12-HLOOKUP(V12,Minimas!$C$3:$CD$12,2,FALSE)</f>
        <v>95</v>
      </c>
      <c r="AC12" s="46">
        <f>T12-HLOOKUP(V12,Minimas!$C$3:$CD$12,3,FALSE)</f>
        <v>80</v>
      </c>
      <c r="AD12" s="46">
        <f>T12-HLOOKUP(V12,Minimas!$C$3:$CD$12,4,FALSE)</f>
        <v>60</v>
      </c>
      <c r="AE12" s="46">
        <f>T12-HLOOKUP(V12,Minimas!$C$3:$CD$12,5,FALSE)</f>
        <v>43</v>
      </c>
      <c r="AF12" s="46">
        <f>T12-HLOOKUP(V12,Minimas!$C$3:$CD$12,6,FALSE)</f>
        <v>23</v>
      </c>
      <c r="AG12" s="46">
        <f>T12-HLOOKUP(V12,Minimas!$C$3:$CD$12,7,FALSE)</f>
        <v>0</v>
      </c>
      <c r="AH12" s="46">
        <f>T12-HLOOKUP(V12,Minimas!$C$3:$CD$12,8,FALSE)</f>
        <v>-20</v>
      </c>
      <c r="AI12" s="46">
        <f>T12-HLOOKUP(V12,Minimas!$C$3:$CD$12,9,FALSE)</f>
        <v>-40</v>
      </c>
      <c r="AJ12" s="46">
        <f>T12-HLOOKUP(V12,Minimas!$C$3:$CD$12,10,FALSE)</f>
        <v>-9819</v>
      </c>
      <c r="AK12" s="47" t="str">
        <f t="shared" si="5"/>
        <v>NAT +</v>
      </c>
      <c r="AL12" s="47"/>
      <c r="AM12" s="47" t="str">
        <f t="shared" si="6"/>
        <v>NAT +</v>
      </c>
      <c r="AN12" s="47">
        <f t="shared" si="7"/>
        <v>0</v>
      </c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</row>
    <row r="13" spans="1:124" s="4" customFormat="1" ht="30" customHeight="1" x14ac:dyDescent="0.25">
      <c r="B13" s="188">
        <v>18</v>
      </c>
      <c r="C13" s="189"/>
      <c r="D13" s="201"/>
      <c r="E13" s="191" t="s">
        <v>126</v>
      </c>
      <c r="F13" s="296" t="s">
        <v>260</v>
      </c>
      <c r="G13" s="296" t="s">
        <v>261</v>
      </c>
      <c r="H13" s="296">
        <v>2008</v>
      </c>
      <c r="I13" s="296" t="s">
        <v>169</v>
      </c>
      <c r="J13" s="191" t="s">
        <v>270</v>
      </c>
      <c r="K13" s="194">
        <v>56.93</v>
      </c>
      <c r="L13" s="195">
        <v>65</v>
      </c>
      <c r="M13" s="195">
        <v>67</v>
      </c>
      <c r="N13" s="195">
        <v>69</v>
      </c>
      <c r="O13" s="279">
        <f t="shared" si="0"/>
        <v>69</v>
      </c>
      <c r="P13" s="195">
        <v>81</v>
      </c>
      <c r="Q13" s="195">
        <v>84</v>
      </c>
      <c r="R13" s="195">
        <v>88</v>
      </c>
      <c r="S13" s="196">
        <f t="shared" si="1"/>
        <v>88</v>
      </c>
      <c r="T13" s="197">
        <f t="shared" si="2"/>
        <v>157</v>
      </c>
      <c r="U13" s="198" t="str">
        <f t="shared" si="3"/>
        <v>INTA + 17</v>
      </c>
      <c r="V13" s="199" t="str">
        <f>IF(E13=0," ",IF(E13="H",IF(H13&lt;=SENIORS_Min,VLOOKUP(K13,Minimas!$A$15:$F$29,6),IF(AND(H13&gt;=U20_Min,H13&lt;=U20_Max),VLOOKUP(K13,Minimas!$A$15:$F$29,5),IF(AND(H13&gt;=U17_Min,H13&lt;=U17_Max),VLOOKUP(K13,Minimas!$A$15:$F$29,4),IF(AND(H13&gt;=U15_Min,H13&lt;=U15_Max),VLOOKUP(K13,Minimas!$A$15:$F$29,3),VLOOKUP(K13,Minimas!$A$15:$F$29,2))))),IF(H13&lt;=SENIORS_Min,VLOOKUP(K13,Minimas!$G$15:$L$29,6),IF(AND(H13&gt;=U20_Min,H13&lt;=U20_Max),VLOOKUP(K13,Minimas!$G$15:$L$29,5),IF(AND(H13&gt;=U17_Min,H13&lt;=U17_Max),VLOOKUP(K13,Minimas!$G$15:$L$29,4),IF(AND(H13&gt;=U15_Min,H13&lt;=U15_Max),VLOOKUP(K13,Minimas!$G$15:$L$29,3),VLOOKUP(K13,Minimas!$G$15:$L$29,2)))))))</f>
        <v>U15 F59</v>
      </c>
      <c r="W13" s="200">
        <f t="shared" si="4"/>
        <v>220.00345004132606</v>
      </c>
      <c r="X13" s="82"/>
      <c r="Y13" s="80"/>
      <c r="Z13" s="80"/>
      <c r="AA13" s="57"/>
      <c r="AB13" s="46">
        <f>T13-HLOOKUP(V13,Minimas!$C$3:$CD$12,2,FALSE)</f>
        <v>117</v>
      </c>
      <c r="AC13" s="46">
        <f>T13-HLOOKUP(V13,Minimas!$C$3:$CD$12,3,FALSE)</f>
        <v>107</v>
      </c>
      <c r="AD13" s="46">
        <f>T13-HLOOKUP(V13,Minimas!$C$3:$CD$12,4,FALSE)</f>
        <v>95</v>
      </c>
      <c r="AE13" s="46">
        <f>T13-HLOOKUP(V13,Minimas!$C$3:$CD$12,5,FALSE)</f>
        <v>82</v>
      </c>
      <c r="AF13" s="46">
        <f>T13-HLOOKUP(V13,Minimas!$C$3:$CD$12,6,FALSE)</f>
        <v>67</v>
      </c>
      <c r="AG13" s="46">
        <f>T13-HLOOKUP(V13,Minimas!$C$3:$CD$12,7,FALSE)</f>
        <v>52</v>
      </c>
      <c r="AH13" s="46">
        <f>T13-HLOOKUP(V13,Minimas!$C$3:$CD$12,8,FALSE)</f>
        <v>37</v>
      </c>
      <c r="AI13" s="46">
        <f>T13-HLOOKUP(V13,Minimas!$C$3:$CD$12,9,FALSE)</f>
        <v>17</v>
      </c>
      <c r="AJ13" s="46">
        <f>T13-HLOOKUP(V13,Minimas!$C$3:$CD$12,10,FALSE)</f>
        <v>-9842</v>
      </c>
      <c r="AK13" s="47" t="str">
        <f t="shared" si="5"/>
        <v>INTA +</v>
      </c>
      <c r="AL13" s="47"/>
      <c r="AM13" s="47" t="str">
        <f t="shared" si="6"/>
        <v>INTA +</v>
      </c>
      <c r="AN13" s="47">
        <f t="shared" si="7"/>
        <v>17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</row>
    <row r="14" spans="1:124" s="4" customFormat="1" ht="30" customHeight="1" x14ac:dyDescent="0.25">
      <c r="B14" s="188">
        <v>19</v>
      </c>
      <c r="C14" s="189"/>
      <c r="D14" s="201"/>
      <c r="E14" s="191" t="s">
        <v>126</v>
      </c>
      <c r="F14" s="296" t="s">
        <v>226</v>
      </c>
      <c r="G14" s="296" t="s">
        <v>227</v>
      </c>
      <c r="H14" s="296">
        <v>2004</v>
      </c>
      <c r="I14" s="296" t="s">
        <v>160</v>
      </c>
      <c r="J14" s="191" t="s">
        <v>273</v>
      </c>
      <c r="K14" s="194">
        <v>60.69</v>
      </c>
      <c r="L14" s="195">
        <v>81</v>
      </c>
      <c r="M14" s="195">
        <v>84</v>
      </c>
      <c r="N14" s="195">
        <v>-86</v>
      </c>
      <c r="O14" s="279">
        <f t="shared" si="0"/>
        <v>84</v>
      </c>
      <c r="P14" s="195">
        <v>100</v>
      </c>
      <c r="Q14" s="195">
        <v>104</v>
      </c>
      <c r="R14" s="195">
        <v>-109</v>
      </c>
      <c r="S14" s="196">
        <f t="shared" si="1"/>
        <v>104</v>
      </c>
      <c r="T14" s="197">
        <f t="shared" si="2"/>
        <v>188</v>
      </c>
      <c r="U14" s="198" t="str">
        <f t="shared" si="3"/>
        <v>INTA + 3</v>
      </c>
      <c r="V14" s="199" t="str">
        <f>IF(E14=0," ",IF(E14="H",IF(H14&lt;=SENIORS_Min,VLOOKUP(K14,Minimas!$A$15:$F$29,6),IF(AND(H14&gt;=U20_Min,H14&lt;=U20_Max),VLOOKUP(K14,Minimas!$A$15:$F$29,5),IF(AND(H14&gt;=U17_Min,H14&lt;=U17_Max),VLOOKUP(K14,Minimas!$A$15:$F$29,4),IF(AND(H14&gt;=U15_Min,H14&lt;=U15_Max),VLOOKUP(K14,Minimas!$A$15:$F$29,3),VLOOKUP(K14,Minimas!$A$15:$F$29,2))))),IF(H14&lt;=SENIORS_Min,VLOOKUP(K14,Minimas!$G$15:$L$29,6),IF(AND(H14&gt;=U20_Min,H14&lt;=U20_Max),VLOOKUP(K14,Minimas!$G$15:$L$29,5),IF(AND(H14&gt;=U17_Min,H14&lt;=U17_Max),VLOOKUP(K14,Minimas!$G$15:$L$29,4),IF(AND(H14&gt;=U15_Min,H14&lt;=U15_Max),VLOOKUP(K14,Minimas!$G$15:$L$29,3),VLOOKUP(K14,Minimas!$G$15:$L$29,2)))))))</f>
        <v>U20 F64</v>
      </c>
      <c r="W14" s="200">
        <f t="shared" si="4"/>
        <v>252.59813268144222</v>
      </c>
      <c r="X14" s="82"/>
      <c r="Y14" s="80"/>
      <c r="Z14" s="80"/>
      <c r="AA14" s="57"/>
      <c r="AB14" s="46">
        <f>T14-HLOOKUP(V14,Minimas!$C$3:$CD$12,2,FALSE)</f>
        <v>128</v>
      </c>
      <c r="AC14" s="46">
        <f>T14-HLOOKUP(V14,Minimas!$C$3:$CD$12,3,FALSE)</f>
        <v>113</v>
      </c>
      <c r="AD14" s="46">
        <f>T14-HLOOKUP(V14,Minimas!$C$3:$CD$12,4,FALSE)</f>
        <v>98</v>
      </c>
      <c r="AE14" s="46">
        <f>T14-HLOOKUP(V14,Minimas!$C$3:$CD$12,5,FALSE)</f>
        <v>83</v>
      </c>
      <c r="AF14" s="46">
        <f>T14-HLOOKUP(V14,Minimas!$C$3:$CD$12,6,FALSE)</f>
        <v>66</v>
      </c>
      <c r="AG14" s="46">
        <f>T14-HLOOKUP(V14,Minimas!$C$3:$CD$12,7,FALSE)</f>
        <v>48</v>
      </c>
      <c r="AH14" s="46">
        <f>T14-HLOOKUP(V14,Minimas!$C$3:$CD$12,8,FALSE)</f>
        <v>28</v>
      </c>
      <c r="AI14" s="46">
        <f>T14-HLOOKUP(V14,Minimas!$C$3:$CD$12,9,FALSE)</f>
        <v>3</v>
      </c>
      <c r="AJ14" s="46">
        <f>T14-HLOOKUP(V14,Minimas!$C$3:$CD$12,10,FALSE)</f>
        <v>-9811</v>
      </c>
      <c r="AK14" s="47" t="str">
        <f t="shared" si="5"/>
        <v>INTA +</v>
      </c>
      <c r="AL14" s="47"/>
      <c r="AM14" s="47" t="str">
        <f t="shared" si="6"/>
        <v>INTA +</v>
      </c>
      <c r="AN14" s="47">
        <f t="shared" si="7"/>
        <v>3</v>
      </c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</row>
    <row r="15" spans="1:124" s="4" customFormat="1" ht="30" customHeight="1" x14ac:dyDescent="0.25">
      <c r="B15" s="188">
        <v>20</v>
      </c>
      <c r="C15" s="189"/>
      <c r="D15" s="201"/>
      <c r="E15" s="191" t="s">
        <v>126</v>
      </c>
      <c r="F15" s="296" t="s">
        <v>228</v>
      </c>
      <c r="G15" s="296" t="s">
        <v>229</v>
      </c>
      <c r="H15" s="296">
        <v>2010</v>
      </c>
      <c r="I15" s="296" t="s">
        <v>191</v>
      </c>
      <c r="J15" s="191" t="s">
        <v>271</v>
      </c>
      <c r="K15" s="194">
        <v>103.56</v>
      </c>
      <c r="L15" s="195">
        <v>-73</v>
      </c>
      <c r="M15" s="195">
        <v>73</v>
      </c>
      <c r="N15" s="195">
        <v>77</v>
      </c>
      <c r="O15" s="279">
        <f t="shared" si="0"/>
        <v>77</v>
      </c>
      <c r="P15" s="195">
        <v>95</v>
      </c>
      <c r="Q15" s="195">
        <v>100</v>
      </c>
      <c r="R15" s="195">
        <v>-105</v>
      </c>
      <c r="S15" s="196">
        <f t="shared" si="1"/>
        <v>100</v>
      </c>
      <c r="T15" s="197">
        <f t="shared" si="2"/>
        <v>177</v>
      </c>
      <c r="U15" s="198" t="e">
        <f t="shared" si="3"/>
        <v>#N/A</v>
      </c>
      <c r="V15" s="199" t="str">
        <f>IF(E15=0," ",IF(E15="H",IF(H15&lt;=SENIORS_Min,VLOOKUP(K15,Minimas!$A$15:$F$29,6),IF(AND(H15&gt;=U20_Min,H15&lt;=U20_Max),VLOOKUP(K15,Minimas!$A$15:$F$29,5),IF(AND(H15&gt;=U17_Min,H15&lt;=U17_Max),VLOOKUP(K15,Minimas!$A$15:$F$29,4),IF(AND(H15&gt;=U15_Min,H15&lt;=U15_Max),VLOOKUP(K15,Minimas!$A$15:$F$29,3),VLOOKUP(K15,Minimas!$A$15:$F$29,2))))),IF(H15&lt;=SENIORS_Min,VLOOKUP(K15,Minimas!$G$15:$L$29,6),IF(AND(H15&gt;=U20_Min,H15&lt;=U20_Max),VLOOKUP(K15,Minimas!$G$15:$L$29,5),IF(AND(H15&gt;=U17_Min,H15&lt;=U17_Max),VLOOKUP(K15,Minimas!$G$15:$L$29,4),IF(AND(H15&gt;=U15_Min,H15&lt;=U15_Max),VLOOKUP(K15,Minimas!$G$15:$L$29,3),VLOOKUP(K15,Minimas!$G$15:$L$29,2)))))))</f>
        <v>NON</v>
      </c>
      <c r="W15" s="200">
        <f t="shared" si="4"/>
        <v>186.70648957173458</v>
      </c>
      <c r="X15" s="82"/>
      <c r="Y15" s="80"/>
      <c r="Z15" s="80"/>
      <c r="AA15" s="57"/>
      <c r="AB15" s="46" t="e">
        <f>T15-HLOOKUP(V15,Minimas!$C$3:$CD$12,2,FALSE)</f>
        <v>#N/A</v>
      </c>
      <c r="AC15" s="46" t="e">
        <f>T15-HLOOKUP(V15,Minimas!$C$3:$CD$12,3,FALSE)</f>
        <v>#N/A</v>
      </c>
      <c r="AD15" s="46" t="e">
        <f>T15-HLOOKUP(V15,Minimas!$C$3:$CD$12,4,FALSE)</f>
        <v>#N/A</v>
      </c>
      <c r="AE15" s="46" t="e">
        <f>T15-HLOOKUP(V15,Minimas!$C$3:$CD$12,5,FALSE)</f>
        <v>#N/A</v>
      </c>
      <c r="AF15" s="46" t="e">
        <f>T15-HLOOKUP(V15,Minimas!$C$3:$CD$12,6,FALSE)</f>
        <v>#N/A</v>
      </c>
      <c r="AG15" s="46" t="e">
        <f>T15-HLOOKUP(V15,Minimas!$C$3:$CD$12,7,FALSE)</f>
        <v>#N/A</v>
      </c>
      <c r="AH15" s="46" t="e">
        <f>T15-HLOOKUP(V15,Minimas!$C$3:$CD$12,8,FALSE)</f>
        <v>#N/A</v>
      </c>
      <c r="AI15" s="46" t="e">
        <f>T15-HLOOKUP(V15,Minimas!$C$3:$CD$12,9,FALSE)</f>
        <v>#N/A</v>
      </c>
      <c r="AJ15" s="46" t="e">
        <f>T15-HLOOKUP(V15,Minimas!$C$3:$CD$12,10,FALSE)</f>
        <v>#N/A</v>
      </c>
      <c r="AK15" s="47" t="e">
        <f t="shared" si="5"/>
        <v>#N/A</v>
      </c>
      <c r="AL15" s="47"/>
      <c r="AM15" s="47" t="e">
        <f t="shared" si="6"/>
        <v>#N/A</v>
      </c>
      <c r="AN15" s="47" t="e">
        <f t="shared" si="7"/>
        <v>#N/A</v>
      </c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</row>
    <row r="16" spans="1:124" s="4" customFormat="1" ht="30" customHeight="1" x14ac:dyDescent="0.25">
      <c r="B16" s="188">
        <v>21</v>
      </c>
      <c r="C16" s="189"/>
      <c r="D16" s="201"/>
      <c r="E16" s="191" t="s">
        <v>126</v>
      </c>
      <c r="F16" s="296" t="s">
        <v>230</v>
      </c>
      <c r="G16" s="296" t="s">
        <v>231</v>
      </c>
      <c r="H16" s="296">
        <v>2007</v>
      </c>
      <c r="I16" s="296" t="s">
        <v>161</v>
      </c>
      <c r="J16" s="191" t="s">
        <v>273</v>
      </c>
      <c r="K16" s="194">
        <v>73.75</v>
      </c>
      <c r="L16" s="195">
        <v>89</v>
      </c>
      <c r="M16" s="195">
        <v>-92</v>
      </c>
      <c r="N16" s="195">
        <v>92</v>
      </c>
      <c r="O16" s="279">
        <f t="shared" si="0"/>
        <v>92</v>
      </c>
      <c r="P16" s="195">
        <v>100</v>
      </c>
      <c r="Q16" s="195">
        <v>-104</v>
      </c>
      <c r="R16" s="195">
        <v>-104</v>
      </c>
      <c r="S16" s="196">
        <f t="shared" si="1"/>
        <v>100</v>
      </c>
      <c r="T16" s="197">
        <f t="shared" si="2"/>
        <v>192</v>
      </c>
      <c r="U16" s="198" t="str">
        <f t="shared" si="3"/>
        <v>INTA + 22</v>
      </c>
      <c r="V16" s="199" t="str">
        <f>IF(E16=0," ",IF(E16="H",IF(H16&lt;=SENIORS_Min,VLOOKUP(K16,Minimas!$A$15:$F$29,6),IF(AND(H16&gt;=U20_Min,H16&lt;=U20_Max),VLOOKUP(K16,Minimas!$A$15:$F$29,5),IF(AND(H16&gt;=U17_Min,H16&lt;=U17_Max),VLOOKUP(K16,Minimas!$A$15:$F$29,4),IF(AND(H16&gt;=U15_Min,H16&lt;=U15_Max),VLOOKUP(K16,Minimas!$A$15:$F$29,3),VLOOKUP(K16,Minimas!$A$15:$F$29,2))))),IF(H16&lt;=SENIORS_Min,VLOOKUP(K16,Minimas!$G$15:$L$29,6),IF(AND(H16&gt;=U20_Min,H16&lt;=U20_Max),VLOOKUP(K16,Minimas!$G$15:$L$29,5),IF(AND(H16&gt;=U17_Min,H16&lt;=U17_Max),VLOOKUP(K16,Minimas!$G$15:$L$29,4),IF(AND(H16&gt;=U15_Min,H16&lt;=U15_Max),VLOOKUP(K16,Minimas!$G$15:$L$29,3),VLOOKUP(K16,Minimas!$G$15:$L$29,2)))))))</f>
        <v>U17 F76</v>
      </c>
      <c r="W16" s="200">
        <f t="shared" si="4"/>
        <v>230.90012676677691</v>
      </c>
      <c r="X16" s="82"/>
      <c r="Y16" s="80"/>
      <c r="Z16" s="80"/>
      <c r="AA16" s="57"/>
      <c r="AB16" s="46">
        <f>T16-HLOOKUP(V16,Minimas!$C$3:$CD$12,2,FALSE)</f>
        <v>127</v>
      </c>
      <c r="AC16" s="46">
        <f>T16-HLOOKUP(V16,Minimas!$C$3:$CD$12,3,FALSE)</f>
        <v>117</v>
      </c>
      <c r="AD16" s="46">
        <f>T16-HLOOKUP(V16,Minimas!$C$3:$CD$12,4,FALSE)</f>
        <v>107</v>
      </c>
      <c r="AE16" s="46">
        <f>T16-HLOOKUP(V16,Minimas!$C$3:$CD$12,5,FALSE)</f>
        <v>95</v>
      </c>
      <c r="AF16" s="46">
        <f>T16-HLOOKUP(V16,Minimas!$C$3:$CD$12,6,FALSE)</f>
        <v>77</v>
      </c>
      <c r="AG16" s="46">
        <f>T16-HLOOKUP(V16,Minimas!$C$3:$CD$12,7,FALSE)</f>
        <v>62</v>
      </c>
      <c r="AH16" s="46">
        <f>T16-HLOOKUP(V16,Minimas!$C$3:$CD$12,8,FALSE)</f>
        <v>50</v>
      </c>
      <c r="AI16" s="46">
        <f>T16-HLOOKUP(V16,Minimas!$C$3:$CD$12,9,FALSE)</f>
        <v>22</v>
      </c>
      <c r="AJ16" s="46">
        <f>T16-HLOOKUP(V16,Minimas!$C$3:$CD$12,10,FALSE)</f>
        <v>-9807</v>
      </c>
      <c r="AK16" s="47" t="str">
        <f t="shared" si="5"/>
        <v>INTA +</v>
      </c>
      <c r="AL16" s="47"/>
      <c r="AM16" s="47" t="str">
        <f t="shared" si="6"/>
        <v>INTA +</v>
      </c>
      <c r="AN16" s="47">
        <f t="shared" si="7"/>
        <v>22</v>
      </c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</row>
    <row r="17" spans="2:107" s="4" customFormat="1" ht="30" customHeight="1" x14ac:dyDescent="0.25">
      <c r="B17" s="188">
        <v>22</v>
      </c>
      <c r="C17" s="189"/>
      <c r="D17" s="201"/>
      <c r="E17" s="191" t="s">
        <v>126</v>
      </c>
      <c r="F17" s="296" t="s">
        <v>232</v>
      </c>
      <c r="G17" s="296" t="s">
        <v>233</v>
      </c>
      <c r="H17" s="296">
        <v>1997</v>
      </c>
      <c r="I17" s="296" t="s">
        <v>205</v>
      </c>
      <c r="J17" s="191" t="s">
        <v>272</v>
      </c>
      <c r="K17" s="194">
        <v>67.680000000000007</v>
      </c>
      <c r="L17" s="195">
        <v>82</v>
      </c>
      <c r="M17" s="195">
        <v>85</v>
      </c>
      <c r="N17" s="195">
        <v>88</v>
      </c>
      <c r="O17" s="279">
        <f t="shared" si="0"/>
        <v>88</v>
      </c>
      <c r="P17" s="195">
        <v>100</v>
      </c>
      <c r="Q17" s="195">
        <v>105</v>
      </c>
      <c r="R17" s="195">
        <v>110</v>
      </c>
      <c r="S17" s="196">
        <f t="shared" si="1"/>
        <v>110</v>
      </c>
      <c r="T17" s="197">
        <f t="shared" si="2"/>
        <v>198</v>
      </c>
      <c r="U17" s="198" t="str">
        <f t="shared" si="3"/>
        <v>INTB + 6</v>
      </c>
      <c r="V17" s="199" t="str">
        <f>IF(E17=0," ",IF(E17="H",IF(H17&lt;=SENIORS_Min,VLOOKUP(K17,Minimas!$A$15:$F$29,6),IF(AND(H17&gt;=U20_Min,H17&lt;=U20_Max),VLOOKUP(K17,Minimas!$A$15:$F$29,5),IF(AND(H17&gt;=U17_Min,H17&lt;=U17_Max),VLOOKUP(K17,Minimas!$A$15:$F$29,4),IF(AND(H17&gt;=U15_Min,H17&lt;=U15_Max),VLOOKUP(K17,Minimas!$A$15:$F$29,3),VLOOKUP(K17,Minimas!$A$15:$F$29,2))))),IF(H17&lt;=SENIORS_Min,VLOOKUP(K17,Minimas!$G$15:$L$29,6),IF(AND(H17&gt;=U20_Min,H17&lt;=U20_Max),VLOOKUP(K17,Minimas!$G$15:$L$29,5),IF(AND(H17&gt;=U17_Min,H17&lt;=U17_Max),VLOOKUP(K17,Minimas!$G$15:$L$29,4),IF(AND(H17&gt;=U15_Min,H17&lt;=U15_Max),VLOOKUP(K17,Minimas!$G$15:$L$29,3),VLOOKUP(K17,Minimas!$G$15:$L$29,2)))))))</f>
        <v>SE F71</v>
      </c>
      <c r="W17" s="200">
        <f t="shared" si="4"/>
        <v>249.23955030194011</v>
      </c>
      <c r="X17" s="82"/>
      <c r="Y17" s="80"/>
      <c r="Z17" s="80"/>
      <c r="AA17" s="57"/>
      <c r="AB17" s="46">
        <f>T17-HLOOKUP(V17,Minimas!$C$3:$CD$12,2,FALSE)</f>
        <v>123</v>
      </c>
      <c r="AC17" s="46">
        <f>T17-HLOOKUP(V17,Minimas!$C$3:$CD$12,3,FALSE)</f>
        <v>108</v>
      </c>
      <c r="AD17" s="46">
        <f>T17-HLOOKUP(V17,Minimas!$C$3:$CD$12,4,FALSE)</f>
        <v>91</v>
      </c>
      <c r="AE17" s="46">
        <f>T17-HLOOKUP(V17,Minimas!$C$3:$CD$12,5,FALSE)</f>
        <v>68</v>
      </c>
      <c r="AF17" s="46">
        <f>T17-HLOOKUP(V17,Minimas!$C$3:$CD$12,6,FALSE)</f>
        <v>46</v>
      </c>
      <c r="AG17" s="46">
        <f>T17-HLOOKUP(V17,Minimas!$C$3:$CD$12,7,FALSE)</f>
        <v>26</v>
      </c>
      <c r="AH17" s="46">
        <f>T17-HLOOKUP(V17,Minimas!$C$3:$CD$12,8,FALSE)</f>
        <v>6</v>
      </c>
      <c r="AI17" s="46">
        <f>T17-HLOOKUP(V17,Minimas!$C$3:$CD$12,9,FALSE)</f>
        <v>-14</v>
      </c>
      <c r="AJ17" s="46">
        <f>T17-HLOOKUP(V17,Minimas!$C$3:$CD$12,10,FALSE)</f>
        <v>-9801</v>
      </c>
      <c r="AK17" s="47" t="str">
        <f t="shared" si="5"/>
        <v>INTB +</v>
      </c>
      <c r="AL17" s="47"/>
      <c r="AM17" s="47" t="str">
        <f t="shared" si="6"/>
        <v>INTB +</v>
      </c>
      <c r="AN17" s="47">
        <f t="shared" si="7"/>
        <v>6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2:107" s="4" customFormat="1" ht="30" customHeight="1" x14ac:dyDescent="0.25">
      <c r="B18" s="188">
        <v>23</v>
      </c>
      <c r="C18" s="189"/>
      <c r="D18" s="201"/>
      <c r="E18" s="191" t="s">
        <v>126</v>
      </c>
      <c r="F18" s="308" t="s">
        <v>234</v>
      </c>
      <c r="G18" s="308" t="s">
        <v>235</v>
      </c>
      <c r="H18" s="308">
        <v>1997</v>
      </c>
      <c r="I18" s="296" t="s">
        <v>205</v>
      </c>
      <c r="J18" s="191" t="s">
        <v>272</v>
      </c>
      <c r="K18" s="194">
        <v>85.75</v>
      </c>
      <c r="L18" s="195">
        <v>-95</v>
      </c>
      <c r="M18" s="195">
        <v>95</v>
      </c>
      <c r="N18" s="195">
        <v>99</v>
      </c>
      <c r="O18" s="279">
        <f t="shared" si="0"/>
        <v>99</v>
      </c>
      <c r="P18" s="195">
        <v>107</v>
      </c>
      <c r="Q18" s="195">
        <v>-110</v>
      </c>
      <c r="R18" s="195">
        <v>-110</v>
      </c>
      <c r="S18" s="196">
        <f t="shared" si="1"/>
        <v>107</v>
      </c>
      <c r="T18" s="197">
        <f t="shared" si="2"/>
        <v>206</v>
      </c>
      <c r="U18" s="198" t="str">
        <f t="shared" si="3"/>
        <v>INTB + 4</v>
      </c>
      <c r="V18" s="199" t="str">
        <f>IF(E18=0," ",IF(E18="H",IF(H18&lt;=SENIORS_Min,VLOOKUP(K18,Minimas!$A$15:$F$29,6),IF(AND(H18&gt;=U20_Min,H18&lt;=U20_Max),VLOOKUP(K18,Minimas!$A$15:$F$29,5),IF(AND(H18&gt;=U17_Min,H18&lt;=U17_Max),VLOOKUP(K18,Minimas!$A$15:$F$29,4),IF(AND(H18&gt;=U15_Min,H18&lt;=U15_Max),VLOOKUP(K18,Minimas!$A$15:$F$29,3),VLOOKUP(K18,Minimas!$A$15:$F$29,2))))),IF(H18&lt;=SENIORS_Min,VLOOKUP(K18,Minimas!$G$15:$L$29,6),IF(AND(H18&gt;=U20_Min,H18&lt;=U20_Max),VLOOKUP(K18,Minimas!$G$15:$L$29,5),IF(AND(H18&gt;=U17_Min,H18&lt;=U17_Max),VLOOKUP(K18,Minimas!$G$15:$L$29,4),IF(AND(H18&gt;=U15_Min,H18&lt;=U15_Max),VLOOKUP(K18,Minimas!$G$15:$L$29,3),VLOOKUP(K18,Minimas!$G$15:$L$29,2)))))))</f>
        <v>SE F87</v>
      </c>
      <c r="W18" s="200">
        <f t="shared" si="4"/>
        <v>231.46328136214208</v>
      </c>
      <c r="X18" s="82"/>
      <c r="Y18" s="80"/>
      <c r="Z18" s="80"/>
      <c r="AA18" s="57"/>
      <c r="AB18" s="46">
        <f>T18-HLOOKUP(V18,Minimas!$C$3:$CD$12,2,FALSE)</f>
        <v>119</v>
      </c>
      <c r="AC18" s="46">
        <f>T18-HLOOKUP(V18,Minimas!$C$3:$CD$12,3,FALSE)</f>
        <v>104</v>
      </c>
      <c r="AD18" s="46">
        <f>T18-HLOOKUP(V18,Minimas!$C$3:$CD$12,4,FALSE)</f>
        <v>84</v>
      </c>
      <c r="AE18" s="46">
        <f>T18-HLOOKUP(V18,Minimas!$C$3:$CD$12,5,FALSE)</f>
        <v>66</v>
      </c>
      <c r="AF18" s="46">
        <f>T18-HLOOKUP(V18,Minimas!$C$3:$CD$12,6,FALSE)</f>
        <v>46</v>
      </c>
      <c r="AG18" s="46">
        <f>T18-HLOOKUP(V18,Minimas!$C$3:$CD$12,7,FALSE)</f>
        <v>24</v>
      </c>
      <c r="AH18" s="46">
        <f>T18-HLOOKUP(V18,Minimas!$C$3:$CD$12,8,FALSE)</f>
        <v>4</v>
      </c>
      <c r="AI18" s="46">
        <f>T18-HLOOKUP(V18,Minimas!$C$3:$CD$12,9,FALSE)</f>
        <v>-18</v>
      </c>
      <c r="AJ18" s="46">
        <f>T18-HLOOKUP(V18,Minimas!$C$3:$CD$12,10,FALSE)</f>
        <v>-9793</v>
      </c>
      <c r="AK18" s="47" t="str">
        <f t="shared" si="5"/>
        <v>INTB +</v>
      </c>
      <c r="AL18" s="47"/>
      <c r="AM18" s="47" t="str">
        <f t="shared" si="6"/>
        <v>INTB +</v>
      </c>
      <c r="AN18" s="47">
        <f t="shared" si="7"/>
        <v>4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2:107" s="4" customFormat="1" ht="30" customHeight="1" x14ac:dyDescent="0.25">
      <c r="B19" s="188">
        <v>24</v>
      </c>
      <c r="C19" s="189"/>
      <c r="D19" s="201"/>
      <c r="E19" s="191" t="s">
        <v>126</v>
      </c>
      <c r="F19" s="303" t="s">
        <v>236</v>
      </c>
      <c r="G19" s="303" t="s">
        <v>295</v>
      </c>
      <c r="H19" s="303">
        <v>1998</v>
      </c>
      <c r="I19" s="296" t="s">
        <v>160</v>
      </c>
      <c r="J19" s="191" t="s">
        <v>273</v>
      </c>
      <c r="K19" s="194">
        <v>93.59</v>
      </c>
      <c r="L19" s="195">
        <v>-106</v>
      </c>
      <c r="M19" s="195">
        <v>106</v>
      </c>
      <c r="N19" s="195">
        <v>111</v>
      </c>
      <c r="O19" s="279">
        <f t="shared" si="0"/>
        <v>111</v>
      </c>
      <c r="P19" s="195">
        <v>124</v>
      </c>
      <c r="Q19" s="195">
        <v>130</v>
      </c>
      <c r="R19" s="195">
        <v>-136</v>
      </c>
      <c r="S19" s="196">
        <f t="shared" si="1"/>
        <v>130</v>
      </c>
      <c r="T19" s="197">
        <f t="shared" si="2"/>
        <v>241</v>
      </c>
      <c r="U19" s="198" t="str">
        <f t="shared" si="3"/>
        <v>INTA + 13</v>
      </c>
      <c r="V19" s="199" t="str">
        <f>IF(E19=0," ",IF(E19="H",IF(H19&lt;=SENIORS_Min,VLOOKUP(K19,Minimas!$A$15:$F$29,6),IF(AND(H19&gt;=U20_Min,H19&lt;=U20_Max),VLOOKUP(K19,Minimas!$A$15:$F$29,5),IF(AND(H19&gt;=U17_Min,H19&lt;=U17_Max),VLOOKUP(K19,Minimas!$A$15:$F$29,4),IF(AND(H19&gt;=U15_Min,H19&lt;=U15_Max),VLOOKUP(K19,Minimas!$A$15:$F$29,3),VLOOKUP(K19,Minimas!$A$15:$F$29,2))))),IF(H19&lt;=SENIORS_Min,VLOOKUP(K19,Minimas!$G$15:$L$29,6),IF(AND(H19&gt;=U20_Min,H19&lt;=U20_Max),VLOOKUP(K19,Minimas!$G$15:$L$29,5),IF(AND(H19&gt;=U17_Min,H19&lt;=U17_Max),VLOOKUP(K19,Minimas!$G$15:$L$29,4),IF(AND(H19&gt;=U15_Min,H19&lt;=U15_Max),VLOOKUP(K19,Minimas!$G$15:$L$29,3),VLOOKUP(K19,Minimas!$G$15:$L$29,2)))))))</f>
        <v>SE F&gt;87</v>
      </c>
      <c r="W19" s="200">
        <f t="shared" si="4"/>
        <v>262.1811704940697</v>
      </c>
      <c r="X19" s="82"/>
      <c r="Y19" s="80"/>
      <c r="Z19" s="80"/>
      <c r="AA19" s="57"/>
      <c r="AB19" s="46">
        <f>T19-HLOOKUP(V19,Minimas!$C$3:$CD$12,2,FALSE)</f>
        <v>151</v>
      </c>
      <c r="AC19" s="46">
        <f>T19-HLOOKUP(V19,Minimas!$C$3:$CD$12,3,FALSE)</f>
        <v>136</v>
      </c>
      <c r="AD19" s="46">
        <f>T19-HLOOKUP(V19,Minimas!$C$3:$CD$12,4,FALSE)</f>
        <v>116</v>
      </c>
      <c r="AE19" s="46">
        <f>T19-HLOOKUP(V19,Minimas!$C$3:$CD$12,5,FALSE)</f>
        <v>99</v>
      </c>
      <c r="AF19" s="46">
        <f>T19-HLOOKUP(V19,Minimas!$C$3:$CD$12,6,FALSE)</f>
        <v>79</v>
      </c>
      <c r="AG19" s="46">
        <f>T19-HLOOKUP(V19,Minimas!$C$3:$CD$12,7,FALSE)</f>
        <v>56</v>
      </c>
      <c r="AH19" s="46">
        <f>T19-HLOOKUP(V19,Minimas!$C$3:$CD$12,8,FALSE)</f>
        <v>36</v>
      </c>
      <c r="AI19" s="46">
        <f>T19-HLOOKUP(V19,Minimas!$C$3:$CD$12,9,FALSE)</f>
        <v>13</v>
      </c>
      <c r="AJ19" s="46">
        <f>T19-HLOOKUP(V19,Minimas!$C$3:$CD$12,10,FALSE)</f>
        <v>-9758</v>
      </c>
      <c r="AK19" s="47" t="str">
        <f t="shared" si="5"/>
        <v>INTA +</v>
      </c>
      <c r="AL19" s="47"/>
      <c r="AM19" s="47" t="str">
        <f t="shared" si="6"/>
        <v>INTA +</v>
      </c>
      <c r="AN19" s="47">
        <f t="shared" si="7"/>
        <v>13</v>
      </c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</row>
    <row r="20" spans="2:107" s="4" customFormat="1" ht="30" hidden="1" customHeight="1" x14ac:dyDescent="0.25">
      <c r="B20" s="188">
        <v>25</v>
      </c>
      <c r="C20" s="186"/>
      <c r="D20" s="187"/>
      <c r="E20" s="191" t="s">
        <v>126</v>
      </c>
      <c r="F20" s="308"/>
      <c r="G20" s="308"/>
      <c r="H20" s="308"/>
      <c r="I20" s="296"/>
      <c r="J20" s="191"/>
      <c r="K20" s="194"/>
      <c r="L20" s="195"/>
      <c r="M20" s="195"/>
      <c r="N20" s="195"/>
      <c r="O20" s="279">
        <f t="shared" si="0"/>
        <v>0</v>
      </c>
      <c r="P20" s="195"/>
      <c r="Q20" s="195"/>
      <c r="R20" s="195"/>
      <c r="S20" s="196">
        <f t="shared" si="1"/>
        <v>0</v>
      </c>
      <c r="T20" s="197">
        <f t="shared" si="2"/>
        <v>0</v>
      </c>
      <c r="U20" s="198" t="e">
        <f t="shared" si="3"/>
        <v>#N/A</v>
      </c>
      <c r="V20" s="199" t="e">
        <f>IF(E20=0," ",IF(E20="H",IF(H20&lt;=SENIORS_Min,VLOOKUP(K20,Minimas!$A$15:$F$29,6),IF(AND(H20&gt;=U20_Min,H20&lt;=U20_Max),VLOOKUP(K20,Minimas!$A$15:$F$29,5),IF(AND(H20&gt;=U17_Min,H20&lt;=U17_Max),VLOOKUP(K20,Minimas!$A$15:$F$29,4),IF(AND(H20&gt;=U15_Min,H20&lt;=U15_Max),VLOOKUP(K20,Minimas!$A$15:$F$29,3),VLOOKUP(K20,Minimas!$A$15:$F$29,2))))),IF(H20&lt;=SENIORS_Min,VLOOKUP(K20,Minimas!$G$15:$L$29,6),IF(AND(H20&gt;=U20_Min,H20&lt;=U20_Max),VLOOKUP(K20,Minimas!$G$15:$L$29,5),IF(AND(H20&gt;=U17_Min,H20&lt;=U17_Max),VLOOKUP(K20,Minimas!$G$15:$L$29,4),IF(AND(H20&gt;=U15_Min,H20&lt;=U15_Max),VLOOKUP(K20,Minimas!$G$15:$L$29,3),VLOOKUP(K20,Minimas!$G$15:$L$29,2)))))))</f>
        <v>#N/A</v>
      </c>
      <c r="W20" s="200" t="e">
        <f t="shared" si="4"/>
        <v>#NUM!</v>
      </c>
      <c r="X20" s="82"/>
      <c r="Y20" s="80"/>
      <c r="Z20" s="80"/>
      <c r="AA20" s="57"/>
      <c r="AB20" s="46" t="e">
        <f>T20-HLOOKUP(V20,Minimas!$C$3:$CD$12,2,FALSE)</f>
        <v>#N/A</v>
      </c>
      <c r="AC20" s="46" t="e">
        <f>T20-HLOOKUP(V20,Minimas!$C$3:$CD$12,3,FALSE)</f>
        <v>#N/A</v>
      </c>
      <c r="AD20" s="46" t="e">
        <f>T20-HLOOKUP(V20,Minimas!$C$3:$CD$12,4,FALSE)</f>
        <v>#N/A</v>
      </c>
      <c r="AE20" s="46" t="e">
        <f>T20-HLOOKUP(V20,Minimas!$C$3:$CD$12,5,FALSE)</f>
        <v>#N/A</v>
      </c>
      <c r="AF20" s="46" t="e">
        <f>T20-HLOOKUP(V20,Minimas!$C$3:$CD$12,6,FALSE)</f>
        <v>#N/A</v>
      </c>
      <c r="AG20" s="46" t="e">
        <f>T20-HLOOKUP(V20,Minimas!$C$3:$CD$12,7,FALSE)</f>
        <v>#N/A</v>
      </c>
      <c r="AH20" s="46" t="e">
        <f>T20-HLOOKUP(V20,Minimas!$C$3:$CD$12,8,FALSE)</f>
        <v>#N/A</v>
      </c>
      <c r="AI20" s="46" t="e">
        <f>T20-HLOOKUP(V20,Minimas!$C$3:$CD$12,9,FALSE)</f>
        <v>#N/A</v>
      </c>
      <c r="AJ20" s="46" t="e">
        <f>T20-HLOOKUP(V20,Minimas!$C$3:$CD$12,10,FALSE)</f>
        <v>#N/A</v>
      </c>
      <c r="AK20" s="47" t="e">
        <f t="shared" si="5"/>
        <v>#N/A</v>
      </c>
      <c r="AL20" s="47"/>
      <c r="AM20" s="47" t="e">
        <f t="shared" si="6"/>
        <v>#N/A</v>
      </c>
      <c r="AN20" s="47" t="e">
        <f t="shared" si="7"/>
        <v>#N/A</v>
      </c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</row>
    <row r="21" spans="2:107" s="4" customFormat="1" ht="30" hidden="1" customHeight="1" x14ac:dyDescent="0.25">
      <c r="B21" s="188">
        <v>26</v>
      </c>
      <c r="C21" s="76"/>
      <c r="D21" s="77"/>
      <c r="E21" s="191" t="s">
        <v>126</v>
      </c>
      <c r="F21" s="303"/>
      <c r="G21" s="303"/>
      <c r="H21" s="303"/>
      <c r="I21" s="296"/>
      <c r="J21" s="191"/>
      <c r="K21" s="194"/>
      <c r="L21" s="195"/>
      <c r="M21" s="195"/>
      <c r="N21" s="195"/>
      <c r="O21" s="279">
        <f t="shared" si="0"/>
        <v>0</v>
      </c>
      <c r="P21" s="195"/>
      <c r="Q21" s="195"/>
      <c r="R21" s="195"/>
      <c r="S21" s="196">
        <f t="shared" si="1"/>
        <v>0</v>
      </c>
      <c r="T21" s="197">
        <f t="shared" si="2"/>
        <v>0</v>
      </c>
      <c r="U21" s="198" t="e">
        <f t="shared" si="3"/>
        <v>#N/A</v>
      </c>
      <c r="V21" s="199" t="e">
        <f>IF(E21=0," ",IF(E21="H",IF(H21&lt;=SENIORS_Min,VLOOKUP(K21,Minimas!$A$15:$F$29,6),IF(AND(H21&gt;=U20_Min,H21&lt;=U20_Max),VLOOKUP(K21,Minimas!$A$15:$F$29,5),IF(AND(H21&gt;=U17_Min,H21&lt;=U17_Max),VLOOKUP(K21,Minimas!$A$15:$F$29,4),IF(AND(H21&gt;=U15_Min,H21&lt;=U15_Max),VLOOKUP(K21,Minimas!$A$15:$F$29,3),VLOOKUP(K21,Minimas!$A$15:$F$29,2))))),IF(H21&lt;=SENIORS_Min,VLOOKUP(K21,Minimas!$G$15:$L$29,6),IF(AND(H21&gt;=U20_Min,H21&lt;=U20_Max),VLOOKUP(K21,Minimas!$G$15:$L$29,5),IF(AND(H21&gt;=U17_Min,H21&lt;=U17_Max),VLOOKUP(K21,Minimas!$G$15:$L$29,4),IF(AND(H21&gt;=U15_Min,H21&lt;=U15_Max),VLOOKUP(K21,Minimas!$G$15:$L$29,3),VLOOKUP(K21,Minimas!$G$15:$L$29,2)))))))</f>
        <v>#N/A</v>
      </c>
      <c r="W21" s="200" t="e">
        <f t="shared" si="4"/>
        <v>#NUM!</v>
      </c>
      <c r="X21" s="82"/>
      <c r="Y21" s="80"/>
      <c r="Z21" s="80"/>
      <c r="AA21" s="57"/>
      <c r="AB21" s="46" t="e">
        <f>T21-HLOOKUP(V21,Minimas!$C$3:$CD$12,2,FALSE)</f>
        <v>#N/A</v>
      </c>
      <c r="AC21" s="46" t="e">
        <f>T21-HLOOKUP(V21,Minimas!$C$3:$CD$12,3,FALSE)</f>
        <v>#N/A</v>
      </c>
      <c r="AD21" s="46" t="e">
        <f>T21-HLOOKUP(V21,Minimas!$C$3:$CD$12,4,FALSE)</f>
        <v>#N/A</v>
      </c>
      <c r="AE21" s="46" t="e">
        <f>T21-HLOOKUP(V21,Minimas!$C$3:$CD$12,5,FALSE)</f>
        <v>#N/A</v>
      </c>
      <c r="AF21" s="46" t="e">
        <f>T21-HLOOKUP(V21,Minimas!$C$3:$CD$12,6,FALSE)</f>
        <v>#N/A</v>
      </c>
      <c r="AG21" s="46" t="e">
        <f>T21-HLOOKUP(V21,Minimas!$C$3:$CD$12,7,FALSE)</f>
        <v>#N/A</v>
      </c>
      <c r="AH21" s="46" t="e">
        <f>T21-HLOOKUP(V21,Minimas!$C$3:$CD$12,8,FALSE)</f>
        <v>#N/A</v>
      </c>
      <c r="AI21" s="46" t="e">
        <f>T21-HLOOKUP(V21,Minimas!$C$3:$CD$12,9,FALSE)</f>
        <v>#N/A</v>
      </c>
      <c r="AJ21" s="46" t="e">
        <f>T21-HLOOKUP(V21,Minimas!$C$3:$CD$12,10,FALSE)</f>
        <v>#N/A</v>
      </c>
      <c r="AK21" s="47" t="e">
        <f t="shared" si="5"/>
        <v>#N/A</v>
      </c>
      <c r="AL21" s="47"/>
      <c r="AM21" s="47" t="e">
        <f t="shared" si="6"/>
        <v>#N/A</v>
      </c>
      <c r="AN21" s="47" t="e">
        <f t="shared" si="7"/>
        <v>#N/A</v>
      </c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</row>
    <row r="22" spans="2:107" s="4" customFormat="1" ht="30" customHeight="1" thickBot="1" x14ac:dyDescent="0.3">
      <c r="B22" s="117"/>
      <c r="C22" s="105"/>
      <c r="D22" s="106"/>
      <c r="E22" s="107"/>
      <c r="F22" s="289"/>
      <c r="G22" s="121"/>
      <c r="H22" s="108"/>
      <c r="I22" s="208"/>
      <c r="J22" s="205"/>
      <c r="K22" s="209"/>
      <c r="L22" s="210"/>
      <c r="M22" s="211"/>
      <c r="N22" s="211"/>
      <c r="O22" s="325" t="str">
        <f t="shared" si="0"/>
        <v/>
      </c>
      <c r="P22" s="210"/>
      <c r="Q22" s="211"/>
      <c r="R22" s="211"/>
      <c r="S22" s="212" t="str">
        <f t="shared" si="1"/>
        <v/>
      </c>
      <c r="T22" s="213" t="str">
        <f t="shared" si="2"/>
        <v/>
      </c>
      <c r="U22" s="214" t="str">
        <f t="shared" si="3"/>
        <v xml:space="preserve">   </v>
      </c>
      <c r="V22" s="215" t="str">
        <f>IF(E22=0," ",IF(E22="H",IF(H22&lt;=SENIORS_Min,VLOOKUP(K22,Minimas!$A$15:$F$29,6),IF(AND(H22&gt;=U20_Min,H22&lt;=U20_Max),VLOOKUP(K22,Minimas!$A$15:$F$29,5),IF(AND(H22&gt;=U17_Min,H22&lt;=U17_Max),VLOOKUP(K22,Minimas!$A$15:$F$29,4),IF(AND(H22&gt;=U15_Min,H22&lt;=U15_Max),VLOOKUP(K22,Minimas!$A$15:$F$29,3),VLOOKUP(K22,Minimas!$A$15:$F$29,2))))),IF(H22&lt;=SENIORS_Min,VLOOKUP(K22,Minimas!$G$15:$L$29,6),IF(AND(H22&gt;=U20_Min,H22&lt;=U20_Max),VLOOKUP(K22,Minimas!$G$15:$L$29,5),IF(AND(H22&gt;=U17_Min,H22&lt;=U17_Max),VLOOKUP(K22,Minimas!$G$15:$L$29,4),IF(AND(H22&gt;=U15_Min,H22&lt;=U15_Max),VLOOKUP(K22,Minimas!$G$15:$L$29,3),VLOOKUP(K22,Minimas!$G$15:$L$29,2)))))))</f>
        <v xml:space="preserve"> </v>
      </c>
      <c r="W22" s="216" t="str">
        <f t="shared" si="4"/>
        <v/>
      </c>
      <c r="X22" s="82"/>
      <c r="Y22" s="80"/>
      <c r="Z22" s="80"/>
      <c r="AA22" s="57"/>
      <c r="AB22" s="46" t="e">
        <f>T22-HLOOKUP(V22,Minimas!$C$3:$CD$12,2,FALSE)</f>
        <v>#VALUE!</v>
      </c>
      <c r="AC22" s="46" t="e">
        <f>T22-HLOOKUP(V22,Minimas!$C$3:$CD$12,3,FALSE)</f>
        <v>#VALUE!</v>
      </c>
      <c r="AD22" s="46" t="e">
        <f>T22-HLOOKUP(V22,Minimas!$C$3:$CD$12,4,FALSE)</f>
        <v>#VALUE!</v>
      </c>
      <c r="AE22" s="46" t="e">
        <f>T22-HLOOKUP(V22,Minimas!$C$3:$CD$12,5,FALSE)</f>
        <v>#VALUE!</v>
      </c>
      <c r="AF22" s="46" t="e">
        <f>T22-HLOOKUP(V22,Minimas!$C$3:$CD$12,6,FALSE)</f>
        <v>#VALUE!</v>
      </c>
      <c r="AG22" s="46" t="e">
        <f>T22-HLOOKUP(V22,Minimas!$C$3:$CD$12,7,FALSE)</f>
        <v>#VALUE!</v>
      </c>
      <c r="AH22" s="46" t="e">
        <f>T22-HLOOKUP(V22,Minimas!$C$3:$CD$12,8,FALSE)</f>
        <v>#VALUE!</v>
      </c>
      <c r="AI22" s="46" t="e">
        <f>T22-HLOOKUP(V22,Minimas!$C$3:$CD$12,9,FALSE)</f>
        <v>#VALUE!</v>
      </c>
      <c r="AJ22" s="46" t="e">
        <f>T22-HLOOKUP(V22,Minimas!$C$3:$CD$12,10,FALSE)</f>
        <v>#VALUE!</v>
      </c>
      <c r="AK22" s="47" t="str">
        <f t="shared" si="5"/>
        <v xml:space="preserve"> </v>
      </c>
      <c r="AL22" s="47"/>
      <c r="AM22" s="47" t="str">
        <f t="shared" si="6"/>
        <v xml:space="preserve"> </v>
      </c>
      <c r="AN22" s="47" t="str">
        <f t="shared" si="7"/>
        <v xml:space="preserve"> </v>
      </c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2:107" s="4" customFormat="1" ht="30" customHeight="1" x14ac:dyDescent="0.25">
      <c r="B23" s="238"/>
      <c r="C23" s="239"/>
      <c r="D23" s="240"/>
      <c r="E23" s="241"/>
      <c r="F23" s="290"/>
      <c r="G23" s="231" t="s">
        <v>154</v>
      </c>
      <c r="H23" s="242"/>
      <c r="I23" s="231" t="s">
        <v>155</v>
      </c>
      <c r="J23" s="243"/>
      <c r="K23" s="244"/>
      <c r="L23" s="352" t="s">
        <v>156</v>
      </c>
      <c r="M23" s="353"/>
      <c r="N23" s="353"/>
      <c r="O23" s="354"/>
      <c r="P23" s="245"/>
      <c r="Q23" s="246"/>
      <c r="R23" s="246"/>
      <c r="S23" s="247" t="str">
        <f t="shared" si="1"/>
        <v/>
      </c>
      <c r="T23" s="356" t="s">
        <v>163</v>
      </c>
      <c r="U23" s="357"/>
      <c r="V23" s="357"/>
      <c r="W23" s="358"/>
      <c r="X23" s="82"/>
      <c r="Y23" s="80"/>
      <c r="Z23" s="80"/>
      <c r="AA23" s="57"/>
      <c r="AB23" s="46" t="e">
        <f>T23-HLOOKUP(V23,Minimas!$C$3:$CD$12,2,FALSE)</f>
        <v>#VALUE!</v>
      </c>
      <c r="AC23" s="46" t="e">
        <f>T23-HLOOKUP(V23,Minimas!$C$3:$CD$12,3,FALSE)</f>
        <v>#VALUE!</v>
      </c>
      <c r="AD23" s="46" t="e">
        <f>T23-HLOOKUP(V23,Minimas!$C$3:$CD$12,4,FALSE)</f>
        <v>#VALUE!</v>
      </c>
      <c r="AE23" s="46" t="e">
        <f>T23-HLOOKUP(V23,Minimas!$C$3:$CD$12,5,FALSE)</f>
        <v>#VALUE!</v>
      </c>
      <c r="AF23" s="46" t="e">
        <f>T23-HLOOKUP(V23,Minimas!$C$3:$CD$12,6,FALSE)</f>
        <v>#VALUE!</v>
      </c>
      <c r="AG23" s="46" t="e">
        <f>T23-HLOOKUP(V23,Minimas!$C$3:$CD$12,7,FALSE)</f>
        <v>#VALUE!</v>
      </c>
      <c r="AH23" s="46" t="e">
        <f>T23-HLOOKUP(V23,Minimas!$C$3:$CD$12,8,FALSE)</f>
        <v>#VALUE!</v>
      </c>
      <c r="AI23" s="46" t="e">
        <f>T23-HLOOKUP(V23,Minimas!$C$3:$CD$12,9,FALSE)</f>
        <v>#VALUE!</v>
      </c>
      <c r="AJ23" s="46" t="e">
        <f>T23-HLOOKUP(V23,Minimas!$C$3:$CD$12,10,FALSE)</f>
        <v>#VALUE!</v>
      </c>
      <c r="AK23" s="47" t="str">
        <f t="shared" si="5"/>
        <v xml:space="preserve"> </v>
      </c>
      <c r="AL23" s="47"/>
      <c r="AM23" s="47" t="str">
        <f t="shared" si="6"/>
        <v xml:space="preserve"> </v>
      </c>
      <c r="AN23" s="47" t="str">
        <f t="shared" si="7"/>
        <v xml:space="preserve"> </v>
      </c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</row>
    <row r="24" spans="2:107" s="4" customFormat="1" ht="30" customHeight="1" x14ac:dyDescent="0.25">
      <c r="B24" s="248"/>
      <c r="C24" s="76"/>
      <c r="D24" s="77"/>
      <c r="E24" s="226"/>
      <c r="F24" s="291"/>
      <c r="G24" s="237" t="s">
        <v>266</v>
      </c>
      <c r="H24" s="228"/>
      <c r="I24" s="237" t="s">
        <v>267</v>
      </c>
      <c r="J24" s="229"/>
      <c r="K24" s="227"/>
      <c r="L24" s="337" t="s">
        <v>268</v>
      </c>
      <c r="M24" s="338"/>
      <c r="N24" s="338"/>
      <c r="O24" s="339"/>
      <c r="P24" s="230"/>
      <c r="Q24" s="78"/>
      <c r="R24" s="78"/>
      <c r="S24" s="79"/>
      <c r="T24" s="343" t="s">
        <v>296</v>
      </c>
      <c r="U24" s="344"/>
      <c r="V24" s="344"/>
      <c r="W24" s="345"/>
      <c r="X24" s="82"/>
      <c r="Y24" s="80"/>
      <c r="Z24" s="80"/>
      <c r="AA24" s="57"/>
      <c r="AB24" s="46" t="e">
        <f>T24-HLOOKUP(V24,Minimas!$C$3:$CD$12,2,FALSE)</f>
        <v>#VALUE!</v>
      </c>
      <c r="AC24" s="46" t="e">
        <f>T24-HLOOKUP(V24,Minimas!$C$3:$CD$12,3,FALSE)</f>
        <v>#VALUE!</v>
      </c>
      <c r="AD24" s="46" t="e">
        <f>T24-HLOOKUP(V24,Minimas!$C$3:$CD$12,4,FALSE)</f>
        <v>#VALUE!</v>
      </c>
      <c r="AE24" s="46" t="e">
        <f>T24-HLOOKUP(V24,Minimas!$C$3:$CD$12,5,FALSE)</f>
        <v>#VALUE!</v>
      </c>
      <c r="AF24" s="46" t="e">
        <f>T24-HLOOKUP(V24,Minimas!$C$3:$CD$12,6,FALSE)</f>
        <v>#VALUE!</v>
      </c>
      <c r="AG24" s="46" t="e">
        <f>T24-HLOOKUP(V24,Minimas!$C$3:$CD$12,7,FALSE)</f>
        <v>#VALUE!</v>
      </c>
      <c r="AH24" s="46" t="e">
        <f>T24-HLOOKUP(V24,Minimas!$C$3:$CD$12,8,FALSE)</f>
        <v>#VALUE!</v>
      </c>
      <c r="AI24" s="46" t="e">
        <f>T24-HLOOKUP(V24,Minimas!$C$3:$CD$12,9,FALSE)</f>
        <v>#VALUE!</v>
      </c>
      <c r="AJ24" s="46" t="e">
        <f>T24-HLOOKUP(V24,Minimas!$C$3:$CD$12,10,FALSE)</f>
        <v>#VALUE!</v>
      </c>
      <c r="AK24" s="47" t="str">
        <f>IF(E24=0," ",IF(AJ24&gt;=0,$AJ$5,IF(AI24&gt;=0,$AI$5,IF(AH24&gt;=0,$AH$5,IF(AG24&gt;=0,$AG$5,IF(AF24&gt;=0,$AF$5,IF(AE24&gt;=0,$AE$5,IF(AD24&gt;=0,$AD$5,IF(AC24&gt;=0,$AC$5,$AB$5)))))))))</f>
        <v xml:space="preserve"> </v>
      </c>
      <c r="AL24" s="47"/>
      <c r="AM24" s="47" t="str">
        <f>IF(AK24="","",AK24)</f>
        <v xml:space="preserve"> </v>
      </c>
      <c r="AN24" s="47" t="str">
        <f>IF(E24=0," ",IF(AJ24&gt;=0,AJ24,IF(AI24&gt;=0,AI24,IF(AH24&gt;=0,AH24,IF(AG24&gt;=0,AG24,IF(AF24&gt;=0,AF24,IF(AE24&gt;=0,AE24,IF(AD24&gt;=0,AD24,IF(AC24&gt;=0,AC24,AB24)))))))))</f>
        <v xml:space="preserve"> </v>
      </c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</row>
    <row r="25" spans="2:107" s="4" customFormat="1" ht="30" customHeight="1" thickBot="1" x14ac:dyDescent="0.3">
      <c r="B25" s="249"/>
      <c r="C25" s="250"/>
      <c r="D25" s="251"/>
      <c r="E25" s="252"/>
      <c r="F25" s="292"/>
      <c r="G25" s="232"/>
      <c r="H25" s="253"/>
      <c r="I25" s="233"/>
      <c r="J25" s="254"/>
      <c r="K25" s="255"/>
      <c r="L25" s="234"/>
      <c r="M25" s="235"/>
      <c r="N25" s="235"/>
      <c r="O25" s="110" t="str">
        <f>IF(E25="","",IF(MAXA(L25:N25)&lt;=0,0,MAXA(L25:N25)))</f>
        <v/>
      </c>
      <c r="P25" s="256"/>
      <c r="Q25" s="235"/>
      <c r="R25" s="235"/>
      <c r="S25" s="110" t="str">
        <f>IF(E25="","",IF(MAXA(P25:R25)&lt;=0,0,MAXA(P25:R25)))</f>
        <v/>
      </c>
      <c r="T25" s="111" t="str">
        <f>IF(E25="","",IF(OR(O25=0,S25=0),0,O25+S25))</f>
        <v/>
      </c>
      <c r="U25" s="112" t="str">
        <f>+CONCATENATE(AM25," ",AN25)</f>
        <v xml:space="preserve">   </v>
      </c>
      <c r="V25" s="236" t="str">
        <f>IF(E25=0," ",IF(E25="H",IF(H25&lt;=SENIORS_Min,VLOOKUP(K25,Minimas!$A$15:$F$29,6),IF(AND(H25&gt;=U20_Min,H25&lt;=U20_Max),VLOOKUP(K25,Minimas!$A$15:$F$29,5),IF(AND(H25&gt;=U17_Min,H25&lt;=U17_Max),VLOOKUP(K25,Minimas!$A$15:$F$29,4),IF(AND(H25&gt;=U15_Min,H25&lt;=U15_Max),VLOOKUP(K25,Minimas!$A$15:$F$29,3),VLOOKUP(K25,Minimas!$A$15:$F$29,2))))),IF(H25&lt;=SENIORS_Min,VLOOKUP(K25,Minimas!$G$15:$L$29,6),IF(AND(H25&gt;=U20_Min,H25&lt;=U20_Max),VLOOKUP(K25,Minimas!$G$15:$L$29,5),IF(AND(H25&gt;=U17_Min,H25&lt;=U17_Max),VLOOKUP(K25,Minimas!$G$15:$L$29,4),IF(AND(H25&gt;=U15_Min,H25&lt;=U15_Max),VLOOKUP(K25,Minimas!$G$15:$L$29,3),VLOOKUP(K25,Minimas!$G$15:$L$29,2)))))))</f>
        <v xml:space="preserve"> </v>
      </c>
      <c r="W25" s="114" t="str">
        <f>IF(E25=" "," ",IF(E25="H",10^(0.722762521*LOG(K25/193.609)^2)*T25,IF(E25="F",10^(0.787004341* LOG(K25/153.757)^2)*T25,"")))</f>
        <v/>
      </c>
      <c r="X25" s="82"/>
      <c r="Y25" s="80"/>
      <c r="Z25" s="80"/>
      <c r="AA25" s="57"/>
      <c r="AB25" s="46" t="e">
        <f>T25-HLOOKUP(V25,Minimas!$C$3:$CD$12,2,FALSE)</f>
        <v>#VALUE!</v>
      </c>
      <c r="AC25" s="46" t="e">
        <f>T25-HLOOKUP(V25,Minimas!$C$3:$CD$12,3,FALSE)</f>
        <v>#VALUE!</v>
      </c>
      <c r="AD25" s="46" t="e">
        <f>T25-HLOOKUP(V25,Minimas!$C$3:$CD$12,4,FALSE)</f>
        <v>#VALUE!</v>
      </c>
      <c r="AE25" s="46" t="e">
        <f>T25-HLOOKUP(V25,Minimas!$C$3:$CD$12,5,FALSE)</f>
        <v>#VALUE!</v>
      </c>
      <c r="AF25" s="46" t="e">
        <f>T25-HLOOKUP(V25,Minimas!$C$3:$CD$12,6,FALSE)</f>
        <v>#VALUE!</v>
      </c>
      <c r="AG25" s="46" t="e">
        <f>T25-HLOOKUP(V25,Minimas!$C$3:$CD$12,7,FALSE)</f>
        <v>#VALUE!</v>
      </c>
      <c r="AH25" s="46" t="e">
        <f>T25-HLOOKUP(V25,Minimas!$C$3:$CD$12,8,FALSE)</f>
        <v>#VALUE!</v>
      </c>
      <c r="AI25" s="46" t="e">
        <f>T25-HLOOKUP(V25,Minimas!$C$3:$CD$12,9,FALSE)</f>
        <v>#VALUE!</v>
      </c>
      <c r="AJ25" s="46" t="e">
        <f>T25-HLOOKUP(V25,Minimas!$C$3:$CD$12,10,FALSE)</f>
        <v>#VALUE!</v>
      </c>
      <c r="AK25" s="47" t="str">
        <f>IF(E25=0," ",IF(AJ25&gt;=0,$AJ$5,IF(AI25&gt;=0,$AI$5,IF(AH25&gt;=0,$AH$5,IF(AG25&gt;=0,$AG$5,IF(AF25&gt;=0,$AF$5,IF(AE25&gt;=0,$AE$5,IF(AD25&gt;=0,$AD$5,IF(AC25&gt;=0,$AC$5,$AB$5)))))))))</f>
        <v xml:space="preserve"> </v>
      </c>
      <c r="AL25" s="47"/>
      <c r="AM25" s="47" t="str">
        <f>IF(AK25="","",AK25)</f>
        <v xml:space="preserve"> </v>
      </c>
      <c r="AN25" s="47" t="str">
        <f>IF(E25=0," ",IF(AJ25&gt;=0,AJ25,IF(AI25&gt;=0,AI25,IF(AH25&gt;=0,AH25,IF(AG25&gt;=0,AG25,IF(AF25&gt;=0,AF25,IF(AE25&gt;=0,AE25,IF(AD25&gt;=0,AD25,IF(AC25&gt;=0,AC25,AB25)))))))))</f>
        <v xml:space="preserve"> </v>
      </c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</row>
    <row r="26" spans="2:107" x14ac:dyDescent="0.25">
      <c r="X26" s="58"/>
    </row>
  </sheetData>
  <mergeCells count="8">
    <mergeCell ref="L24:O24"/>
    <mergeCell ref="T24:W24"/>
    <mergeCell ref="D2:W2"/>
    <mergeCell ref="V3:W3"/>
    <mergeCell ref="L23:O23"/>
    <mergeCell ref="T23:W23"/>
    <mergeCell ref="P3:T3"/>
    <mergeCell ref="G3:O3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70" orientation="landscape" horizontalDpi="300" verticalDpi="300" r:id="rId1"/>
  <headerFooter alignWithMargins="0"/>
  <colBreaks count="1" manualBreakCount="1">
    <brk id="27" max="7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>
    <pageSetUpPr fitToPage="1"/>
  </sheetPr>
  <dimension ref="A1:DT25"/>
  <sheetViews>
    <sheetView topLeftCell="B9" zoomScale="81" zoomScaleNormal="76" zoomScaleSheetLayoutView="100" workbookViewId="0">
      <selection activeCell="T23" sqref="T23:W23"/>
    </sheetView>
  </sheetViews>
  <sheetFormatPr baseColWidth="10" defaultColWidth="11.44140625" defaultRowHeight="15.6" x14ac:dyDescent="0.25"/>
  <cols>
    <col min="1" max="1" width="1.6640625" style="1" hidden="1" customWidth="1"/>
    <col min="2" max="2" width="5.6640625" style="1" customWidth="1"/>
    <col min="3" max="3" width="9.6640625" style="1" customWidth="1"/>
    <col min="4" max="4" width="6.6640625" style="73" hidden="1" customWidth="1"/>
    <col min="5" max="5" width="6.6640625" style="1" customWidth="1"/>
    <col min="6" max="6" width="17.88671875" style="1" bestFit="1" customWidth="1"/>
    <col min="7" max="7" width="23.21875" style="1" customWidth="1"/>
    <col min="8" max="8" width="5.88671875" style="61" customWidth="1"/>
    <col min="9" max="9" width="34.5546875" style="66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hidden="1" customWidth="1"/>
    <col min="22" max="22" width="12" style="69" hidden="1" customWidth="1"/>
    <col min="23" max="23" width="11.33203125" style="1" customWidth="1"/>
    <col min="24" max="24" width="20.6640625" style="3" customWidth="1"/>
    <col min="25" max="25" width="41" style="3" customWidth="1"/>
    <col min="26" max="26" width="32.109375" style="3" customWidth="1"/>
    <col min="27" max="27" width="13.88671875" style="3" hidden="1" customWidth="1"/>
    <col min="28" max="40" width="11.44140625" style="22" hidden="1" customWidth="1"/>
    <col min="41" max="107" width="11.44140625" style="22"/>
    <col min="108" max="16384" width="11.44140625" style="1"/>
  </cols>
  <sheetData>
    <row r="1" spans="1:124" ht="5.0999999999999996" customHeight="1" x14ac:dyDescent="0.25"/>
    <row r="2" spans="1:124" s="7" customFormat="1" ht="30" customHeight="1" x14ac:dyDescent="0.25">
      <c r="D2" s="346" t="s">
        <v>127</v>
      </c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8"/>
      <c r="X2" s="55"/>
      <c r="Y2" s="55"/>
      <c r="Z2" s="55"/>
      <c r="AA2" s="55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</row>
    <row r="3" spans="1:124" s="7" customFormat="1" ht="30" customHeight="1" x14ac:dyDescent="0.25">
      <c r="G3" s="355" t="s">
        <v>258</v>
      </c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 t="s">
        <v>128</v>
      </c>
      <c r="S3" s="349"/>
      <c r="T3" s="349"/>
      <c r="U3" s="70"/>
      <c r="V3" s="350">
        <v>46193</v>
      </c>
      <c r="W3" s="351"/>
      <c r="X3" s="55"/>
      <c r="Y3" s="55"/>
      <c r="Z3" s="55"/>
      <c r="AA3" s="55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</row>
    <row r="4" spans="1:124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56"/>
      <c r="AA4" s="56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</row>
    <row r="5" spans="1:124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135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64"/>
      <c r="AA5" s="65"/>
      <c r="AB5" s="48" t="s">
        <v>105</v>
      </c>
      <c r="AC5" s="48" t="s">
        <v>106</v>
      </c>
      <c r="AD5" s="48" t="s">
        <v>107</v>
      </c>
      <c r="AE5" s="48" t="s">
        <v>108</v>
      </c>
      <c r="AF5" s="48" t="s">
        <v>109</v>
      </c>
      <c r="AG5" s="48" t="s">
        <v>110</v>
      </c>
      <c r="AH5" s="48" t="s">
        <v>111</v>
      </c>
      <c r="AI5" s="48" t="s">
        <v>112</v>
      </c>
      <c r="AJ5" s="48" t="s">
        <v>113</v>
      </c>
      <c r="AK5" s="44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</row>
    <row r="6" spans="1:124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56"/>
      <c r="AA6" s="56"/>
      <c r="AB6" s="45" t="s">
        <v>114</v>
      </c>
      <c r="AC6" s="45" t="s">
        <v>115</v>
      </c>
      <c r="AD6" s="45" t="s">
        <v>107</v>
      </c>
      <c r="AE6" s="45" t="s">
        <v>108</v>
      </c>
      <c r="AF6" s="45" t="s">
        <v>109</v>
      </c>
      <c r="AG6" s="45" t="s">
        <v>110</v>
      </c>
      <c r="AH6" s="45" t="s">
        <v>111</v>
      </c>
      <c r="AI6" s="45" t="s">
        <v>112</v>
      </c>
      <c r="AJ6" s="45" t="s">
        <v>113</v>
      </c>
      <c r="AK6" s="45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</row>
    <row r="7" spans="1:124" s="4" customFormat="1" ht="30" customHeight="1" x14ac:dyDescent="0.25">
      <c r="B7" s="188">
        <v>111</v>
      </c>
      <c r="C7" s="189"/>
      <c r="D7" s="190"/>
      <c r="E7" s="191" t="s">
        <v>133</v>
      </c>
      <c r="F7" s="300" t="s">
        <v>208</v>
      </c>
      <c r="G7" s="300" t="s">
        <v>209</v>
      </c>
      <c r="H7" s="300">
        <v>2005</v>
      </c>
      <c r="I7" s="300" t="s">
        <v>157</v>
      </c>
      <c r="J7" s="191" t="s">
        <v>270</v>
      </c>
      <c r="K7" s="194">
        <v>70.150000000000006</v>
      </c>
      <c r="L7" s="195">
        <v>107</v>
      </c>
      <c r="M7" s="195">
        <v>112</v>
      </c>
      <c r="N7" s="195">
        <v>-117</v>
      </c>
      <c r="O7" s="279">
        <f>IF(E7="","",IF(MAXA(L7:N7)&lt;=0,0,MAXA(L7:N7)))</f>
        <v>112</v>
      </c>
      <c r="P7" s="195">
        <v>135</v>
      </c>
      <c r="Q7" s="195">
        <v>-140</v>
      </c>
      <c r="R7" s="195">
        <v>-140</v>
      </c>
      <c r="S7" s="196">
        <f>IF(E7="","",IF(MAXA(P7:R7)&lt;=0,0,MAXA(P7:R7)))</f>
        <v>135</v>
      </c>
      <c r="T7" s="197">
        <f>IF(E7="","",IF(OR(O7=0,S7=0),0,O7+S7))</f>
        <v>247</v>
      </c>
      <c r="U7" s="198" t="str">
        <f>+CONCATENATE(AM7," ",AN7)</f>
        <v>NAT + 17</v>
      </c>
      <c r="V7" s="199" t="str">
        <f>IF(E7=0," ",IF(E7="H",IF(H7&lt;=SENIORS_Min,VLOOKUP(K7,Minimas!$A$15:$F$29,6),IF(AND(H7&gt;=U20_Min,H7&lt;=U20_Max),VLOOKUP(K7,Minimas!$A$15:$F$29,5),IF(AND(H7&gt;=U17_Min,H7&lt;=U17_Max),VLOOKUP(K7,Minimas!$A$15:$F$29,4),IF(AND(H7&gt;=U15_Min,H7&lt;=U15_Max),VLOOKUP(K7,Minimas!$A$15:$F$29,3),VLOOKUP(K7,Minimas!$A$15:$F$29,2))))),IF(H7&lt;=SENIORS_Min,VLOOKUP(K7,Minimas!$G$15:$L$29,6),IF(AND(H7&gt;=U20_Min,H7&lt;=U20_Max),VLOOKUP(K7,Minimas!$G$15:$L$29,5),IF(AND(H7&gt;=U17_Min,H7&lt;=U17_Max),VLOOKUP(K7,Minimas!$G$15:$L$29,4),IF(AND(H7&gt;=U15_Min,H7&lt;=U15_Max),VLOOKUP(K7,Minimas!$G$15:$L$29,3),VLOOKUP(K7,Minimas!$G$15:$L$29,2)))))))</f>
        <v>U20 M73</v>
      </c>
      <c r="W7" s="200">
        <f>IF(E7=" "," ",IF(E7="H",10^(0.722762521*LOG(K7/193.609)^2)*T7,IF(E7="F",10^(0.787004341* LOG(K7/153.757)^2)*T7,"")))</f>
        <v>341.34648171395332</v>
      </c>
      <c r="X7" s="82"/>
      <c r="Y7" s="80"/>
      <c r="Z7" s="80"/>
      <c r="AA7" s="57"/>
      <c r="AB7" s="46">
        <f>T7-HLOOKUP(V7,Minimas!$C$3:$CD$12,2,FALSE)</f>
        <v>127</v>
      </c>
      <c r="AC7" s="46">
        <f>T7-HLOOKUP(V7,Minimas!$C$3:$CD$12,3,FALSE)</f>
        <v>107</v>
      </c>
      <c r="AD7" s="46">
        <f>T7-HLOOKUP(V7,Minimas!$C$3:$CD$12,4,FALSE)</f>
        <v>87</v>
      </c>
      <c r="AE7" s="46">
        <f>T7-HLOOKUP(V7,Minimas!$C$3:$CD$12,5,FALSE)</f>
        <v>67</v>
      </c>
      <c r="AF7" s="46">
        <f>T7-HLOOKUP(V7,Minimas!$C$3:$CD$12,6,FALSE)</f>
        <v>47</v>
      </c>
      <c r="AG7" s="46">
        <f>T7-HLOOKUP(V7,Minimas!$C$3:$CD$12,7,FALSE)</f>
        <v>17</v>
      </c>
      <c r="AH7" s="46">
        <f>T7-HLOOKUP(V7,Minimas!$C$3:$CD$12,8,FALSE)</f>
        <v>-13</v>
      </c>
      <c r="AI7" s="46">
        <f>T7-HLOOKUP(V7,Minimas!$C$3:$CD$12,9,FALSE)</f>
        <v>-38</v>
      </c>
      <c r="AJ7" s="46">
        <f>T7-HLOOKUP(V7,Minimas!$C$3:$CD$12,10,FALSE)</f>
        <v>-9752</v>
      </c>
      <c r="AK7" s="47" t="str">
        <f>IF(E7=0," ",IF(AJ7&gt;=0,$AJ$5,IF(AI7&gt;=0,$AI$5,IF(AH7&gt;=0,$AH$5,IF(AG7&gt;=0,$AG$5,IF(AF7&gt;=0,$AF$5,IF(AE7&gt;=0,$AE$5,IF(AD7&gt;=0,$AD$5,IF(AC7&gt;=0,$AC$5,$AB$5)))))))))</f>
        <v>NAT +</v>
      </c>
      <c r="AL7" s="47"/>
      <c r="AM7" s="47" t="str">
        <f>IF(AK7="","",AK7)</f>
        <v>NAT +</v>
      </c>
      <c r="AN7" s="47">
        <f>IF(E7=0," ",IF(AJ7&gt;=0,AJ7,IF(AI7&gt;=0,AI7,IF(AH7&gt;=0,AH7,IF(AG7&gt;=0,AG7,IF(AF7&gt;=0,AF7,IF(AE7&gt;=0,AE7,IF(AD7&gt;=0,AD7,IF(AC7&gt;=0,AC7,AB7)))))))))</f>
        <v>17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</row>
    <row r="8" spans="1:124" s="4" customFormat="1" ht="30" customHeight="1" x14ac:dyDescent="0.25">
      <c r="B8" s="188">
        <v>112</v>
      </c>
      <c r="C8" s="189"/>
      <c r="D8" s="190"/>
      <c r="E8" s="191" t="s">
        <v>133</v>
      </c>
      <c r="F8" s="304" t="s">
        <v>237</v>
      </c>
      <c r="G8" s="304" t="s">
        <v>238</v>
      </c>
      <c r="H8" s="304">
        <v>2003</v>
      </c>
      <c r="I8" s="301" t="s">
        <v>188</v>
      </c>
      <c r="J8" s="191" t="s">
        <v>270</v>
      </c>
      <c r="K8" s="194">
        <v>80.2</v>
      </c>
      <c r="L8" s="195">
        <v>117</v>
      </c>
      <c r="M8" s="195">
        <v>122</v>
      </c>
      <c r="N8" s="195">
        <v>-125</v>
      </c>
      <c r="O8" s="279">
        <f>IF(E8="","",IF(MAXA(L8:N8)&lt;=0,0,MAXA(L8:N8)))</f>
        <v>122</v>
      </c>
      <c r="P8" s="195">
        <v>130</v>
      </c>
      <c r="Q8" s="195">
        <v>135</v>
      </c>
      <c r="R8" s="195">
        <v>-138</v>
      </c>
      <c r="S8" s="196">
        <f>IF(E8="","",IF(MAXA(P8:R8)&lt;=0,0,MAXA(P8:R8)))</f>
        <v>135</v>
      </c>
      <c r="T8" s="197">
        <f>IF(E8="","",IF(OR(O8=0,S8=0),0,O8+S8))</f>
        <v>257</v>
      </c>
      <c r="U8" s="198" t="str">
        <f>+CONCATENATE(AM8," ",AN8)</f>
        <v>NAT + 12</v>
      </c>
      <c r="V8" s="199" t="str">
        <f>IF(E8=0," ",IF(E8="H",IF(H8&lt;=SENIORS_Min,VLOOKUP(K8,Minimas!$A$15:$F$29,6),IF(AND(H8&gt;=U20_Min,H8&lt;=U20_Max),VLOOKUP(K8,Minimas!$A$15:$F$29,5),IF(AND(H8&gt;=U17_Min,H8&lt;=U17_Max),VLOOKUP(K8,Minimas!$A$15:$F$29,4),IF(AND(H8&gt;=U15_Min,H8&lt;=U15_Max),VLOOKUP(K8,Minimas!$A$15:$F$29,3),VLOOKUP(K8,Minimas!$A$15:$F$29,2))))),IF(H8&lt;=SENIORS_Min,VLOOKUP(K8,Minimas!$G$15:$L$29,6),IF(AND(H8&gt;=U20_Min,H8&lt;=U20_Max),VLOOKUP(K8,Minimas!$G$15:$L$29,5),IF(AND(H8&gt;=U17_Min,H8&lt;=U17_Max),VLOOKUP(K8,Minimas!$G$15:$L$29,4),IF(AND(H8&gt;=U15_Min,H8&lt;=U15_Max),VLOOKUP(K8,Minimas!$G$15:$L$29,3),VLOOKUP(K8,Minimas!$G$15:$L$29,2)))))))</f>
        <v>U20 M81</v>
      </c>
      <c r="W8" s="200">
        <f>IF(E8=" "," ",IF(E8="H",10^(0.722762521*LOG(K8/193.609)^2)*T8,IF(E8="F",10^(0.787004341* LOG(K8/153.757)^2)*T8,"")))</f>
        <v>327.95686043098971</v>
      </c>
      <c r="X8" s="82"/>
      <c r="Y8" s="80"/>
      <c r="Z8" s="80"/>
      <c r="AA8" s="57"/>
      <c r="AB8" s="46">
        <f>T8-HLOOKUP(V8,Minimas!$C$3:$CD$12,2,FALSE)</f>
        <v>127</v>
      </c>
      <c r="AC8" s="46">
        <f>T8-HLOOKUP(V8,Minimas!$C$3:$CD$12,3,FALSE)</f>
        <v>107</v>
      </c>
      <c r="AD8" s="46">
        <f>T8-HLOOKUP(V8,Minimas!$C$3:$CD$12,4,FALSE)</f>
        <v>87</v>
      </c>
      <c r="AE8" s="46">
        <f>T8-HLOOKUP(V8,Minimas!$C$3:$CD$12,5,FALSE)</f>
        <v>67</v>
      </c>
      <c r="AF8" s="46">
        <f>T8-HLOOKUP(V8,Minimas!$C$3:$CD$12,6,FALSE)</f>
        <v>42</v>
      </c>
      <c r="AG8" s="46">
        <f>T8-HLOOKUP(V8,Minimas!$C$3:$CD$12,7,FALSE)</f>
        <v>12</v>
      </c>
      <c r="AH8" s="46">
        <f>T8-HLOOKUP(V8,Minimas!$C$3:$CD$12,8,FALSE)</f>
        <v>-18</v>
      </c>
      <c r="AI8" s="46">
        <f>T8-HLOOKUP(V8,Minimas!$C$3:$CD$12,9,FALSE)</f>
        <v>-48</v>
      </c>
      <c r="AJ8" s="46">
        <f>T8-HLOOKUP(V8,Minimas!$C$3:$CD$12,10,FALSE)</f>
        <v>-9742</v>
      </c>
      <c r="AK8" s="47" t="str">
        <f>IF(E8=0," ",IF(AJ8&gt;=0,$AJ$5,IF(AI8&gt;=0,$AI$5,IF(AH8&gt;=0,$AH$5,IF(AG8&gt;=0,$AG$5,IF(AF8&gt;=0,$AF$5,IF(AE8&gt;=0,$AE$5,IF(AD8&gt;=0,$AD$5,IF(AC8&gt;=0,$AC$5,$AB$5)))))))))</f>
        <v>NAT +</v>
      </c>
      <c r="AL8" s="47"/>
      <c r="AM8" s="47" t="str">
        <f>IF(AK8="","",AK8)</f>
        <v>NAT +</v>
      </c>
      <c r="AN8" s="47">
        <f>IF(E8=0," ",IF(AJ8&gt;=0,AJ8,IF(AI8&gt;=0,AI8,IF(AH8&gt;=0,AH8,IF(AG8&gt;=0,AG8,IF(AF8&gt;=0,AF8,IF(AE8&gt;=0,AE8,IF(AD8&gt;=0,AD8,IF(AC8&gt;=0,AC8,AB8)))))))))</f>
        <v>12</v>
      </c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</row>
    <row r="9" spans="1:124" s="4" customFormat="1" ht="30" customHeight="1" x14ac:dyDescent="0.25">
      <c r="B9" s="188">
        <v>113</v>
      </c>
      <c r="C9" s="189"/>
      <c r="D9" s="190"/>
      <c r="E9" s="191" t="s">
        <v>133</v>
      </c>
      <c r="F9" s="301" t="s">
        <v>239</v>
      </c>
      <c r="G9" s="301" t="s">
        <v>240</v>
      </c>
      <c r="H9" s="301">
        <v>2000</v>
      </c>
      <c r="I9" s="301" t="s">
        <v>158</v>
      </c>
      <c r="J9" s="191" t="s">
        <v>273</v>
      </c>
      <c r="K9" s="194">
        <v>79.150000000000006</v>
      </c>
      <c r="L9" s="195">
        <v>116</v>
      </c>
      <c r="M9" s="195">
        <v>121</v>
      </c>
      <c r="N9" s="195">
        <v>-124</v>
      </c>
      <c r="O9" s="279">
        <f>IF(E9="","",IF(MAXA(L9:N9)&lt;=0,0,MAXA(L9:N9)))</f>
        <v>121</v>
      </c>
      <c r="P9" s="195">
        <v>138</v>
      </c>
      <c r="Q9" s="195">
        <v>143</v>
      </c>
      <c r="R9" s="195">
        <v>-148</v>
      </c>
      <c r="S9" s="196">
        <f>IF(E9="","",IF(MAXA(P9:R9)&lt;=0,0,MAXA(P9:R9)))</f>
        <v>143</v>
      </c>
      <c r="T9" s="197">
        <f>IF(E9="","",IF(OR(O9=0,S9=0),0,O9+S9))</f>
        <v>264</v>
      </c>
      <c r="U9" s="198" t="str">
        <f>+CONCATENATE(AM9," ",AN9)</f>
        <v>FED + 14</v>
      </c>
      <c r="V9" s="199" t="str">
        <f>IF(E9=0," ",IF(E9="H",IF(H9&lt;=SENIORS_Min,VLOOKUP(K9,Minimas!$A$15:$F$29,6),IF(AND(H9&gt;=U20_Min,H9&lt;=U20_Max),VLOOKUP(K9,Minimas!$A$15:$F$29,5),IF(AND(H9&gt;=U17_Min,H9&lt;=U17_Max),VLOOKUP(K9,Minimas!$A$15:$F$29,4),IF(AND(H9&gt;=U15_Min,H9&lt;=U15_Max),VLOOKUP(K9,Minimas!$A$15:$F$29,3),VLOOKUP(K9,Minimas!$A$15:$F$29,2))))),IF(H9&lt;=SENIORS_Min,VLOOKUP(K9,Minimas!$G$15:$L$29,6),IF(AND(H9&gt;=U20_Min,H9&lt;=U20_Max),VLOOKUP(K9,Minimas!$G$15:$L$29,5),IF(AND(H9&gt;=U17_Min,H9&lt;=U17_Max),VLOOKUP(K9,Minimas!$G$15:$L$29,4),IF(AND(H9&gt;=U15_Min,H9&lt;=U15_Max),VLOOKUP(K9,Minimas!$G$15:$L$29,3),VLOOKUP(K9,Minimas!$G$15:$L$29,2)))))))</f>
        <v>SE M81</v>
      </c>
      <c r="W9" s="200">
        <f>IF(E9=" "," ",IF(E9="H",10^(0.722762521*LOG(K9/193.609)^2)*T9,IF(E9="F",10^(0.787004341* LOG(K9/153.757)^2)*T9,"")))</f>
        <v>339.37343893370996</v>
      </c>
      <c r="X9" s="82"/>
      <c r="Y9" s="80"/>
      <c r="Z9" s="80"/>
      <c r="AA9" s="57"/>
      <c r="AB9" s="46">
        <f>T9-HLOOKUP(V9,Minimas!$C$3:$CD$12,2,FALSE)</f>
        <v>119</v>
      </c>
      <c r="AC9" s="46">
        <f>T9-HLOOKUP(V9,Minimas!$C$3:$CD$12,3,FALSE)</f>
        <v>94</v>
      </c>
      <c r="AD9" s="46">
        <f>T9-HLOOKUP(V9,Minimas!$C$3:$CD$12,4,FALSE)</f>
        <v>69</v>
      </c>
      <c r="AE9" s="46">
        <f>T9-HLOOKUP(V9,Minimas!$C$3:$CD$12,5,FALSE)</f>
        <v>44</v>
      </c>
      <c r="AF9" s="46">
        <f>T9-HLOOKUP(V9,Minimas!$C$3:$CD$12,6,FALSE)</f>
        <v>14</v>
      </c>
      <c r="AG9" s="46">
        <f>T9-HLOOKUP(V9,Minimas!$C$3:$CD$12,7,FALSE)</f>
        <v>-11</v>
      </c>
      <c r="AH9" s="46">
        <f>T9-HLOOKUP(V9,Minimas!$C$3:$CD$12,8,FALSE)</f>
        <v>-41</v>
      </c>
      <c r="AI9" s="46">
        <f>T9-HLOOKUP(V9,Minimas!$C$3:$CD$12,9,FALSE)</f>
        <v>-71</v>
      </c>
      <c r="AJ9" s="46">
        <f>T9-HLOOKUP(V9,Minimas!$C$3:$CD$12,10,FALSE)</f>
        <v>-9735</v>
      </c>
      <c r="AK9" s="47" t="str">
        <f>IF(E9=0," ",IF(AJ9&gt;=0,$AJ$5,IF(AI9&gt;=0,$AI$5,IF(AH9&gt;=0,$AH$5,IF(AG9&gt;=0,$AG$5,IF(AF9&gt;=0,$AF$5,IF(AE9&gt;=0,$AE$5,IF(AD9&gt;=0,$AD$5,IF(AC9&gt;=0,$AC$5,$AB$5)))))))))</f>
        <v>FED +</v>
      </c>
      <c r="AL9" s="47"/>
      <c r="AM9" s="47" t="str">
        <f>IF(AK9="","",AK9)</f>
        <v>FED +</v>
      </c>
      <c r="AN9" s="47">
        <f>IF(E9=0," ",IF(AJ9&gt;=0,AJ9,IF(AI9&gt;=0,AI9,IF(AH9&gt;=0,AH9,IF(AG9&gt;=0,AG9,IF(AF9&gt;=0,AF9,IF(AE9&gt;=0,AE9,IF(AD9&gt;=0,AD9,IF(AC9&gt;=0,AC9,AB9)))))))))</f>
        <v>14</v>
      </c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</row>
    <row r="10" spans="1:124" s="4" customFormat="1" ht="27" customHeight="1" x14ac:dyDescent="0.25">
      <c r="B10" s="188">
        <v>114</v>
      </c>
      <c r="C10" s="189"/>
      <c r="D10" s="190"/>
      <c r="E10" s="191" t="s">
        <v>129</v>
      </c>
      <c r="F10" s="301" t="s">
        <v>241</v>
      </c>
      <c r="G10" s="301" t="s">
        <v>242</v>
      </c>
      <c r="H10" s="301">
        <v>2000</v>
      </c>
      <c r="I10" s="301" t="s">
        <v>205</v>
      </c>
      <c r="J10" s="191" t="s">
        <v>272</v>
      </c>
      <c r="K10" s="194">
        <v>85.5</v>
      </c>
      <c r="L10" s="195">
        <v>110</v>
      </c>
      <c r="M10" s="195">
        <v>114</v>
      </c>
      <c r="N10" s="195">
        <v>-117</v>
      </c>
      <c r="O10" s="279">
        <f>IF(E10="","",IF(MAXA(L10:N10)&lt;=0,0,MAXA(L10:N10)))</f>
        <v>114</v>
      </c>
      <c r="P10" s="195">
        <v>135</v>
      </c>
      <c r="Q10" s="195">
        <v>142</v>
      </c>
      <c r="R10" s="195">
        <v>-146</v>
      </c>
      <c r="S10" s="196">
        <f>IF(E10="","",IF(MAXA(P10:R10)&lt;=0,0,MAXA(P10:R10)))</f>
        <v>142</v>
      </c>
      <c r="T10" s="197">
        <f>IF(E10="","",IF(OR(O10=0,S10=0),0,O10+S10))</f>
        <v>256</v>
      </c>
      <c r="U10" s="198" t="str">
        <f>+CONCATENATE(AM10," ",AN10)</f>
        <v>IRG + 26</v>
      </c>
      <c r="V10" s="199" t="str">
        <f>IF(E10=0," ",IF(E10="H",IF(H10&lt;=SENIORS_Min,VLOOKUP(K10,Minimas!$A$15:$F$29,6),IF(AND(H10&gt;=U20_Min,H10&lt;=U20_Max),VLOOKUP(K10,Minimas!$A$15:$F$29,5),IF(AND(H10&gt;=U17_Min,H10&lt;=U17_Max),VLOOKUP(K10,Minimas!$A$15:$F$29,4),IF(AND(H10&gt;=U15_Min,H10&lt;=U15_Max),VLOOKUP(K10,Minimas!$A$15:$F$29,3),VLOOKUP(K10,Minimas!$A$15:$F$29,2))))),IF(H10&lt;=SENIORS_Min,VLOOKUP(K10,Minimas!$G$15:$L$29,6),IF(AND(H10&gt;=U20_Min,H10&lt;=U20_Max),VLOOKUP(K10,Minimas!$G$15:$L$29,5),IF(AND(H10&gt;=U17_Min,H10&lt;=U17_Max),VLOOKUP(K10,Minimas!$G$15:$L$29,4),IF(AND(H10&gt;=U15_Min,H10&lt;=U15_Max),VLOOKUP(K10,Minimas!$G$15:$L$29,3),VLOOKUP(K10,Minimas!$G$15:$L$29,2)))))))</f>
        <v>SE M89</v>
      </c>
      <c r="W10" s="200">
        <f>IF(E10=" "," ",IF(E10="H",10^(0.722762521*LOG(K10/193.609)^2)*T10,IF(E10="F",10^(0.787004341* LOG(K10/153.757)^2)*T10,"")))</f>
        <v>315.72232531891524</v>
      </c>
      <c r="X10" s="81"/>
      <c r="Y10" s="75"/>
      <c r="Z10" s="75"/>
      <c r="AA10" s="57"/>
      <c r="AB10" s="46">
        <f>T10-HLOOKUP(V10,Minimas!$C$3:$CD$12,2,FALSE)</f>
        <v>106</v>
      </c>
      <c r="AC10" s="46">
        <f>T10-HLOOKUP(V10,Minimas!$C$3:$CD$12,3,FALSE)</f>
        <v>81</v>
      </c>
      <c r="AD10" s="46">
        <f>T10-HLOOKUP(V10,Minimas!$C$3:$CD$12,4,FALSE)</f>
        <v>56</v>
      </c>
      <c r="AE10" s="46">
        <f>T10-HLOOKUP(V10,Minimas!$C$3:$CD$12,5,FALSE)</f>
        <v>26</v>
      </c>
      <c r="AF10" s="46">
        <f>T10-HLOOKUP(V10,Minimas!$C$3:$CD$12,6,FALSE)</f>
        <v>-4</v>
      </c>
      <c r="AG10" s="46">
        <f>T10-HLOOKUP(V10,Minimas!$C$3:$CD$12,7,FALSE)</f>
        <v>-31</v>
      </c>
      <c r="AH10" s="46">
        <f>T10-HLOOKUP(V10,Minimas!$C$3:$CD$12,8,FALSE)</f>
        <v>-64</v>
      </c>
      <c r="AI10" s="46">
        <f>T10-HLOOKUP(V10,Minimas!$C$3:$CD$12,9,FALSE)</f>
        <v>-94</v>
      </c>
      <c r="AJ10" s="46">
        <f>T10-HLOOKUP(V10,Minimas!$C$3:$CD$12,10,FALSE)</f>
        <v>-9743</v>
      </c>
      <c r="AK10" s="47" t="str">
        <f>IF(E10=0," ",IF(AJ10&gt;=0,$AJ$5,IF(AI10&gt;=0,$AI$5,IF(AH10&gt;=0,$AH$5,IF(AG10&gt;=0,$AG$5,IF(AF10&gt;=0,$AF$5,IF(AE10&gt;=0,$AE$5,IF(AD10&gt;=0,$AD$5,IF(AC10&gt;=0,$AC$5,$AB$5)))))))))</f>
        <v>IRG +</v>
      </c>
      <c r="AL10" s="47"/>
      <c r="AM10" s="47" t="str">
        <f>IF(AK10="","",AK10)</f>
        <v>IRG +</v>
      </c>
      <c r="AN10" s="47">
        <f>IF(E10=0," ",IF(AJ10&gt;=0,AJ10,IF(AI10&gt;=0,AI10,IF(AH10&gt;=0,AH10,IF(AG10&gt;=0,AG10,IF(AF10&gt;=0,AF10,IF(AE10&gt;=0,AE10,IF(AD10&gt;=0,AD10,IF(AC10&gt;=0,AC10,AB10)))))))))</f>
        <v>26</v>
      </c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</row>
    <row r="11" spans="1:124" s="4" customFormat="1" ht="30" customHeight="1" x14ac:dyDescent="0.25">
      <c r="B11" s="188">
        <v>115</v>
      </c>
      <c r="C11" s="189"/>
      <c r="D11" s="190"/>
      <c r="E11" s="191" t="s">
        <v>133</v>
      </c>
      <c r="F11" s="301" t="s">
        <v>243</v>
      </c>
      <c r="G11" s="301" t="s">
        <v>244</v>
      </c>
      <c r="H11" s="301">
        <v>2000</v>
      </c>
      <c r="I11" s="301" t="s">
        <v>160</v>
      </c>
      <c r="J11" s="191" t="s">
        <v>273</v>
      </c>
      <c r="K11" s="194">
        <v>78.349999999999994</v>
      </c>
      <c r="L11" s="195">
        <v>115</v>
      </c>
      <c r="M11" s="195">
        <v>120</v>
      </c>
      <c r="N11" s="195">
        <v>-123</v>
      </c>
      <c r="O11" s="279">
        <f t="shared" ref="O11:O21" si="0">IF(E11="","",IF(MAXA(L11:N11)&lt;=0,0,MAXA(L11:N11)))</f>
        <v>120</v>
      </c>
      <c r="P11" s="195">
        <v>143</v>
      </c>
      <c r="Q11" s="195">
        <v>148</v>
      </c>
      <c r="R11" s="195">
        <v>152</v>
      </c>
      <c r="S11" s="196">
        <f t="shared" ref="S11:S21" si="1">IF(E11="","",IF(MAXA(P11:R11)&lt;=0,0,MAXA(P11:R11)))</f>
        <v>152</v>
      </c>
      <c r="T11" s="197">
        <f t="shared" ref="T11:T21" si="2">IF(E11="","",IF(OR(O11=0,S11=0),0,O11+S11))</f>
        <v>272</v>
      </c>
      <c r="U11" s="198" t="str">
        <f t="shared" ref="U11:U21" si="3">+CONCATENATE(AM11," ",AN11)</f>
        <v>FED + 22</v>
      </c>
      <c r="V11" s="199" t="str">
        <f>IF(E11=0," ",IF(E11="H",IF(H11&lt;=SENIORS_Min,VLOOKUP(K11,Minimas!$A$15:$F$29,6),IF(AND(H11&gt;=U20_Min,H11&lt;=U20_Max),VLOOKUP(K11,Minimas!$A$15:$F$29,5),IF(AND(H11&gt;=U17_Min,H11&lt;=U17_Max),VLOOKUP(K11,Minimas!$A$15:$F$29,4),IF(AND(H11&gt;=U15_Min,H11&lt;=U15_Max),VLOOKUP(K11,Minimas!$A$15:$F$29,3),VLOOKUP(K11,Minimas!$A$15:$F$29,2))))),IF(H11&lt;=SENIORS_Min,VLOOKUP(K11,Minimas!$G$15:$L$29,6),IF(AND(H11&gt;=U20_Min,H11&lt;=U20_Max),VLOOKUP(K11,Minimas!$G$15:$L$29,5),IF(AND(H11&gt;=U17_Min,H11&lt;=U17_Max),VLOOKUP(K11,Minimas!$G$15:$L$29,4),IF(AND(H11&gt;=U15_Min,H11&lt;=U15_Max),VLOOKUP(K11,Minimas!$G$15:$L$29,3),VLOOKUP(K11,Minimas!$G$15:$L$29,2)))))))</f>
        <v>SE M81</v>
      </c>
      <c r="W11" s="200">
        <f t="shared" ref="W11:W21" si="4">IF(E11=" "," ",IF(E11="H",10^(0.722762521*LOG(K11/193.609)^2)*T11,IF(E11="F",10^(0.787004341* LOG(K11/153.757)^2)*T11,"")))</f>
        <v>351.66925943846491</v>
      </c>
      <c r="X11" s="82"/>
      <c r="Y11" s="80"/>
      <c r="Z11" s="80"/>
      <c r="AA11" s="57"/>
      <c r="AB11" s="46">
        <f>T11-HLOOKUP(V11,Minimas!$C$3:$CD$12,2,FALSE)</f>
        <v>127</v>
      </c>
      <c r="AC11" s="46">
        <f>T11-HLOOKUP(V11,Minimas!$C$3:$CD$12,3,FALSE)</f>
        <v>102</v>
      </c>
      <c r="AD11" s="46">
        <f>T11-HLOOKUP(V11,Minimas!$C$3:$CD$12,4,FALSE)</f>
        <v>77</v>
      </c>
      <c r="AE11" s="46">
        <f>T11-HLOOKUP(V11,Minimas!$C$3:$CD$12,5,FALSE)</f>
        <v>52</v>
      </c>
      <c r="AF11" s="46">
        <f>T11-HLOOKUP(V11,Minimas!$C$3:$CD$12,6,FALSE)</f>
        <v>22</v>
      </c>
      <c r="AG11" s="46">
        <f>T11-HLOOKUP(V11,Minimas!$C$3:$CD$12,7,FALSE)</f>
        <v>-3</v>
      </c>
      <c r="AH11" s="46">
        <f>T11-HLOOKUP(V11,Minimas!$C$3:$CD$12,8,FALSE)</f>
        <v>-33</v>
      </c>
      <c r="AI11" s="46">
        <f>T11-HLOOKUP(V11,Minimas!$C$3:$CD$12,9,FALSE)</f>
        <v>-63</v>
      </c>
      <c r="AJ11" s="46">
        <f>T11-HLOOKUP(V11,Minimas!$C$3:$CD$12,10,FALSE)</f>
        <v>-9727</v>
      </c>
      <c r="AK11" s="47" t="str">
        <f t="shared" ref="AK11:AK21" si="5">IF(E11=0," ",IF(AJ11&gt;=0,$AJ$5,IF(AI11&gt;=0,$AI$5,IF(AH11&gt;=0,$AH$5,IF(AG11&gt;=0,$AG$5,IF(AF11&gt;=0,$AF$5,IF(AE11&gt;=0,$AE$5,IF(AD11&gt;=0,$AD$5,IF(AC11&gt;=0,$AC$5,$AB$5)))))))))</f>
        <v>FED +</v>
      </c>
      <c r="AL11" s="47"/>
      <c r="AM11" s="47" t="str">
        <f t="shared" ref="AM11:AM21" si="6">IF(AK11="","",AK11)</f>
        <v>FED +</v>
      </c>
      <c r="AN11" s="47">
        <f t="shared" ref="AN11:AN21" si="7">IF(E11=0," ",IF(AJ11&gt;=0,AJ11,IF(AI11&gt;=0,AI11,IF(AH11&gt;=0,AH11,IF(AG11&gt;=0,AG11,IF(AF11&gt;=0,AF11,IF(AE11&gt;=0,AE11,IF(AD11&gt;=0,AD11,IF(AC11&gt;=0,AC11,AB11)))))))))</f>
        <v>22</v>
      </c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</row>
    <row r="12" spans="1:124" s="4" customFormat="1" ht="30" customHeight="1" x14ac:dyDescent="0.25">
      <c r="B12" s="188">
        <v>116</v>
      </c>
      <c r="C12" s="189"/>
      <c r="D12" s="201"/>
      <c r="E12" s="191" t="s">
        <v>133</v>
      </c>
      <c r="F12" s="305" t="s">
        <v>245</v>
      </c>
      <c r="G12" s="301" t="s">
        <v>246</v>
      </c>
      <c r="H12" s="301">
        <v>2005</v>
      </c>
      <c r="I12" s="301" t="s">
        <v>219</v>
      </c>
      <c r="J12" s="191" t="s">
        <v>274</v>
      </c>
      <c r="K12" s="194">
        <v>93.15</v>
      </c>
      <c r="L12" s="195">
        <v>118</v>
      </c>
      <c r="M12" s="195">
        <v>-123</v>
      </c>
      <c r="N12" s="195">
        <v>-123</v>
      </c>
      <c r="O12" s="279">
        <f t="shared" si="0"/>
        <v>118</v>
      </c>
      <c r="P12" s="195">
        <v>155</v>
      </c>
      <c r="Q12" s="195">
        <v>160</v>
      </c>
      <c r="R12" s="195">
        <v>-165</v>
      </c>
      <c r="S12" s="196">
        <f t="shared" si="1"/>
        <v>160</v>
      </c>
      <c r="T12" s="197">
        <f t="shared" si="2"/>
        <v>278</v>
      </c>
      <c r="U12" s="198" t="str">
        <f t="shared" si="3"/>
        <v>NAT + 18</v>
      </c>
      <c r="V12" s="199" t="str">
        <f>IF(E12=0," ",IF(E12="H",IF(H12&lt;=SENIORS_Min,VLOOKUP(K12,Minimas!$A$15:$F$29,6),IF(AND(H12&gt;=U20_Min,H12&lt;=U20_Max),VLOOKUP(K12,Minimas!$A$15:$F$29,5),IF(AND(H12&gt;=U17_Min,H12&lt;=U17_Max),VLOOKUP(K12,Minimas!$A$15:$F$29,4),IF(AND(H12&gt;=U15_Min,H12&lt;=U15_Max),VLOOKUP(K12,Minimas!$A$15:$F$29,3),VLOOKUP(K12,Minimas!$A$15:$F$29,2))))),IF(H12&lt;=SENIORS_Min,VLOOKUP(K12,Minimas!$G$15:$L$29,6),IF(AND(H12&gt;=U20_Min,H12&lt;=U20_Max),VLOOKUP(K12,Minimas!$G$15:$L$29,5),IF(AND(H12&gt;=U17_Min,H12&lt;=U17_Max),VLOOKUP(K12,Minimas!$G$15:$L$29,4),IF(AND(H12&gt;=U15_Min,H12&lt;=U15_Max),VLOOKUP(K12,Minimas!$G$15:$L$29,3),VLOOKUP(K12,Minimas!$G$15:$L$29,2)))))))</f>
        <v>U20 M96</v>
      </c>
      <c r="W12" s="200">
        <f t="shared" si="4"/>
        <v>328.86313918109403</v>
      </c>
      <c r="X12" s="82"/>
      <c r="Y12" s="80"/>
      <c r="Z12" s="80"/>
      <c r="AA12" s="57"/>
      <c r="AB12" s="46">
        <f>T12-HLOOKUP(V12,Minimas!$C$3:$CD$12,2,FALSE)</f>
        <v>138</v>
      </c>
      <c r="AC12" s="46">
        <f>T12-HLOOKUP(V12,Minimas!$C$3:$CD$12,3,FALSE)</f>
        <v>113</v>
      </c>
      <c r="AD12" s="46">
        <f>T12-HLOOKUP(V12,Minimas!$C$3:$CD$12,4,FALSE)</f>
        <v>93</v>
      </c>
      <c r="AE12" s="46">
        <f>T12-HLOOKUP(V12,Minimas!$C$3:$CD$12,5,FALSE)</f>
        <v>68</v>
      </c>
      <c r="AF12" s="46">
        <f>T12-HLOOKUP(V12,Minimas!$C$3:$CD$12,6,FALSE)</f>
        <v>48</v>
      </c>
      <c r="AG12" s="46">
        <f>T12-HLOOKUP(V12,Minimas!$C$3:$CD$12,7,FALSE)</f>
        <v>18</v>
      </c>
      <c r="AH12" s="46">
        <f>T12-HLOOKUP(V12,Minimas!$C$3:$CD$12,8,FALSE)</f>
        <v>-17</v>
      </c>
      <c r="AI12" s="46">
        <f>T12-HLOOKUP(V12,Minimas!$C$3:$CD$12,9,FALSE)</f>
        <v>-47</v>
      </c>
      <c r="AJ12" s="46">
        <f>T12-HLOOKUP(V12,Minimas!$C$3:$CD$12,10,FALSE)</f>
        <v>-9721</v>
      </c>
      <c r="AK12" s="47" t="str">
        <f t="shared" si="5"/>
        <v>NAT +</v>
      </c>
      <c r="AL12" s="47"/>
      <c r="AM12" s="47" t="str">
        <f t="shared" si="6"/>
        <v>NAT +</v>
      </c>
      <c r="AN12" s="47">
        <f t="shared" si="7"/>
        <v>18</v>
      </c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</row>
    <row r="13" spans="1:124" s="4" customFormat="1" ht="30" customHeight="1" x14ac:dyDescent="0.25">
      <c r="B13" s="188">
        <v>117</v>
      </c>
      <c r="C13" s="189"/>
      <c r="D13" s="201"/>
      <c r="E13" s="191" t="s">
        <v>133</v>
      </c>
      <c r="F13" s="306" t="s">
        <v>291</v>
      </c>
      <c r="G13" s="306" t="s">
        <v>292</v>
      </c>
      <c r="H13" s="306">
        <v>1999</v>
      </c>
      <c r="I13" s="301" t="s">
        <v>247</v>
      </c>
      <c r="J13" s="191" t="s">
        <v>247</v>
      </c>
      <c r="K13" s="194">
        <v>96.75</v>
      </c>
      <c r="L13" s="195">
        <v>-120</v>
      </c>
      <c r="M13" s="195">
        <v>-120</v>
      </c>
      <c r="N13" s="195">
        <v>-120</v>
      </c>
      <c r="O13" s="279">
        <f t="shared" si="0"/>
        <v>0</v>
      </c>
      <c r="P13" s="195">
        <v>150</v>
      </c>
      <c r="Q13" s="195">
        <v>157</v>
      </c>
      <c r="R13" s="195">
        <v>-161</v>
      </c>
      <c r="S13" s="196">
        <f t="shared" si="1"/>
        <v>157</v>
      </c>
      <c r="T13" s="197">
        <v>157</v>
      </c>
      <c r="U13" s="198" t="str">
        <f t="shared" si="3"/>
        <v>DEB -3</v>
      </c>
      <c r="V13" s="199" t="str">
        <f>IF(E13=0," ",IF(E13="H",IF(H13&lt;=SENIORS_Min,VLOOKUP(K13,Minimas!$A$15:$F$29,6),IF(AND(H13&gt;=U20_Min,H13&lt;=U20_Max),VLOOKUP(K13,Minimas!$A$15:$F$29,5),IF(AND(H13&gt;=U17_Min,H13&lt;=U17_Max),VLOOKUP(K13,Minimas!$A$15:$F$29,4),IF(AND(H13&gt;=U15_Min,H13&lt;=U15_Max),VLOOKUP(K13,Minimas!$A$15:$F$29,3),VLOOKUP(K13,Minimas!$A$15:$F$29,2))))),IF(H13&lt;=SENIORS_Min,VLOOKUP(K13,Minimas!$G$15:$L$29,6),IF(AND(H13&gt;=U20_Min,H13&lt;=U20_Max),VLOOKUP(K13,Minimas!$G$15:$L$29,5),IF(AND(H13&gt;=U17_Min,H13&lt;=U17_Max),VLOOKUP(K13,Minimas!$G$15:$L$29,4),IF(AND(H13&gt;=U15_Min,H13&lt;=U15_Max),VLOOKUP(K13,Minimas!$G$15:$L$29,3),VLOOKUP(K13,Minimas!$G$15:$L$29,2)))))))</f>
        <v>SE M102</v>
      </c>
      <c r="W13" s="200">
        <f t="shared" si="4"/>
        <v>182.60059127730221</v>
      </c>
      <c r="X13" s="82"/>
      <c r="Y13" s="80"/>
      <c r="Z13" s="80"/>
      <c r="AA13" s="57"/>
      <c r="AB13" s="46">
        <f>T13-HLOOKUP(V13,Minimas!$C$3:$CD$12,2,FALSE)</f>
        <v>-3</v>
      </c>
      <c r="AC13" s="46">
        <f>T13-HLOOKUP(V13,Minimas!$C$3:$CD$12,3,FALSE)</f>
        <v>-28</v>
      </c>
      <c r="AD13" s="46">
        <f>T13-HLOOKUP(V13,Minimas!$C$3:$CD$12,4,FALSE)</f>
        <v>-53</v>
      </c>
      <c r="AE13" s="46">
        <f>T13-HLOOKUP(V13,Minimas!$C$3:$CD$12,5,FALSE)</f>
        <v>-83</v>
      </c>
      <c r="AF13" s="46">
        <f>T13-HLOOKUP(V13,Minimas!$C$3:$CD$12,6,FALSE)</f>
        <v>-113</v>
      </c>
      <c r="AG13" s="46">
        <f>T13-HLOOKUP(V13,Minimas!$C$3:$CD$12,7,FALSE)</f>
        <v>-145</v>
      </c>
      <c r="AH13" s="46">
        <f>T13-HLOOKUP(V13,Minimas!$C$3:$CD$12,8,FALSE)</f>
        <v>-183</v>
      </c>
      <c r="AI13" s="46">
        <f>T13-HLOOKUP(V13,Minimas!$C$3:$CD$12,9,FALSE)</f>
        <v>-213</v>
      </c>
      <c r="AJ13" s="46">
        <f>T13-HLOOKUP(V13,Minimas!$C$3:$CD$12,10,FALSE)</f>
        <v>-9842</v>
      </c>
      <c r="AK13" s="47" t="str">
        <f t="shared" si="5"/>
        <v>DEB</v>
      </c>
      <c r="AL13" s="47"/>
      <c r="AM13" s="47" t="str">
        <f t="shared" si="6"/>
        <v>DEB</v>
      </c>
      <c r="AN13" s="47">
        <f t="shared" si="7"/>
        <v>-3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</row>
    <row r="14" spans="1:124" s="4" customFormat="1" ht="30" customHeight="1" x14ac:dyDescent="0.25">
      <c r="B14" s="188">
        <v>118</v>
      </c>
      <c r="C14" s="189"/>
      <c r="D14" s="201"/>
      <c r="E14" s="191" t="s">
        <v>133</v>
      </c>
      <c r="F14" s="301" t="s">
        <v>248</v>
      </c>
      <c r="G14" s="301" t="s">
        <v>249</v>
      </c>
      <c r="H14" s="301">
        <v>1995</v>
      </c>
      <c r="I14" s="301" t="s">
        <v>159</v>
      </c>
      <c r="J14" s="191" t="s">
        <v>270</v>
      </c>
      <c r="K14" s="194">
        <v>85.5</v>
      </c>
      <c r="L14" s="195">
        <v>125</v>
      </c>
      <c r="M14" s="195">
        <v>130</v>
      </c>
      <c r="N14" s="195">
        <v>-135</v>
      </c>
      <c r="O14" s="279">
        <f t="shared" si="0"/>
        <v>130</v>
      </c>
      <c r="P14" s="195">
        <v>150</v>
      </c>
      <c r="Q14" s="195">
        <v>156</v>
      </c>
      <c r="R14" s="195">
        <v>-160</v>
      </c>
      <c r="S14" s="196">
        <f>IF(E14="","",IF(MAXA(P14:R14)&lt;=0,0,MAXA(P14:R14)))</f>
        <v>156</v>
      </c>
      <c r="T14" s="197">
        <f>IF(E14="","",IF(OR(O14=0,S14=0),0,O14+S14))</f>
        <v>286</v>
      </c>
      <c r="U14" s="198" t="str">
        <f>+CONCATENATE(AM14," ",AN14)</f>
        <v>FED + 26</v>
      </c>
      <c r="V14" s="199" t="str">
        <f>IF(E14=0," ",IF(E14="H",IF(H14&lt;=SENIORS_Min,VLOOKUP(K14,Minimas!$A$15:$F$29,6),IF(AND(H14&gt;=U20_Min,H14&lt;=U20_Max),VLOOKUP(K14,Minimas!$A$15:$F$29,5),IF(AND(H14&gt;=U17_Min,H14&lt;=U17_Max),VLOOKUP(K14,Minimas!$A$15:$F$29,4),IF(AND(H14&gt;=U15_Min,H14&lt;=U15_Max),VLOOKUP(K14,Minimas!$A$15:$F$29,3),VLOOKUP(K14,Minimas!$A$15:$F$29,2))))),IF(H14&lt;=SENIORS_Min,VLOOKUP(K14,Minimas!$G$15:$L$29,6),IF(AND(H14&gt;=U20_Min,H14&lt;=U20_Max),VLOOKUP(K14,Minimas!$G$15:$L$29,5),IF(AND(H14&gt;=U17_Min,H14&lt;=U17_Max),VLOOKUP(K14,Minimas!$G$15:$L$29,4),IF(AND(H14&gt;=U15_Min,H14&lt;=U15_Max),VLOOKUP(K14,Minimas!$G$15:$L$29,3),VLOOKUP(K14,Minimas!$G$15:$L$29,2)))))))</f>
        <v>SE M89</v>
      </c>
      <c r="W14" s="200">
        <f>IF(E14=" "," ",IF(E14="H",10^(0.722762521*LOG(K14/193.609)^2)*T14,IF(E14="F",10^(0.787004341* LOG(K14/153.757)^2)*T14,"")))</f>
        <v>352.72103531722564</v>
      </c>
      <c r="X14" s="82"/>
      <c r="Y14" s="80"/>
      <c r="Z14" s="80"/>
      <c r="AA14" s="57"/>
      <c r="AB14" s="46">
        <f>T14-HLOOKUP(V14,Minimas!$C$3:$CD$12,2,FALSE)</f>
        <v>136</v>
      </c>
      <c r="AC14" s="46">
        <f>T14-HLOOKUP(V14,Minimas!$C$3:$CD$12,3,FALSE)</f>
        <v>111</v>
      </c>
      <c r="AD14" s="46">
        <f>T14-HLOOKUP(V14,Minimas!$C$3:$CD$12,4,FALSE)</f>
        <v>86</v>
      </c>
      <c r="AE14" s="46">
        <f>T14-HLOOKUP(V14,Minimas!$C$3:$CD$12,5,FALSE)</f>
        <v>56</v>
      </c>
      <c r="AF14" s="46">
        <f>T14-HLOOKUP(V14,Minimas!$C$3:$CD$12,6,FALSE)</f>
        <v>26</v>
      </c>
      <c r="AG14" s="46">
        <f>T14-HLOOKUP(V14,Minimas!$C$3:$CD$12,7,FALSE)</f>
        <v>-1</v>
      </c>
      <c r="AH14" s="46">
        <f>T14-HLOOKUP(V14,Minimas!$C$3:$CD$12,8,FALSE)</f>
        <v>-34</v>
      </c>
      <c r="AI14" s="46">
        <f>T14-HLOOKUP(V14,Minimas!$C$3:$CD$12,9,FALSE)</f>
        <v>-64</v>
      </c>
      <c r="AJ14" s="46">
        <f>T14-HLOOKUP(V14,Minimas!$C$3:$CD$12,10,FALSE)</f>
        <v>-9713</v>
      </c>
      <c r="AK14" s="47" t="str">
        <f t="shared" si="5"/>
        <v>FED +</v>
      </c>
      <c r="AL14" s="47"/>
      <c r="AM14" s="47" t="str">
        <f t="shared" si="6"/>
        <v>FED +</v>
      </c>
      <c r="AN14" s="47">
        <f t="shared" si="7"/>
        <v>26</v>
      </c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</row>
    <row r="15" spans="1:124" s="4" customFormat="1" ht="30" customHeight="1" x14ac:dyDescent="0.25">
      <c r="B15" s="188">
        <v>119</v>
      </c>
      <c r="C15" s="189"/>
      <c r="D15" s="201"/>
      <c r="E15" s="191" t="s">
        <v>133</v>
      </c>
      <c r="F15" s="301" t="s">
        <v>250</v>
      </c>
      <c r="G15" s="301" t="s">
        <v>251</v>
      </c>
      <c r="H15" s="301">
        <v>1992</v>
      </c>
      <c r="I15" s="301" t="s">
        <v>159</v>
      </c>
      <c r="J15" s="191" t="s">
        <v>270</v>
      </c>
      <c r="K15" s="194">
        <v>86.65</v>
      </c>
      <c r="L15" s="195">
        <v>-130</v>
      </c>
      <c r="M15" s="195">
        <v>130</v>
      </c>
      <c r="N15" s="195">
        <v>-133</v>
      </c>
      <c r="O15" s="279">
        <f t="shared" si="0"/>
        <v>130</v>
      </c>
      <c r="P15" s="195">
        <v>145</v>
      </c>
      <c r="Q15" s="195">
        <v>153</v>
      </c>
      <c r="R15" s="195">
        <v>158</v>
      </c>
      <c r="S15" s="196">
        <f>IF(E15="","",IF(MAXA(P15:R15)&lt;=0,0,MAXA(P15:R15)))</f>
        <v>158</v>
      </c>
      <c r="T15" s="197">
        <f>IF(E15="","",IF(OR(O15=0,S15=0),0,O15+S15))</f>
        <v>288</v>
      </c>
      <c r="U15" s="198" t="str">
        <f>+CONCATENATE(AM15," ",AN15)</f>
        <v>NAT + 1</v>
      </c>
      <c r="V15" s="199" t="str">
        <f>IF(E15=0," ",IF(E15="H",IF(H15&lt;=SENIORS_Min,VLOOKUP(K15,Minimas!$A$15:$F$29,6),IF(AND(H15&gt;=U20_Min,H15&lt;=U20_Max),VLOOKUP(K15,Minimas!$A$15:$F$29,5),IF(AND(H15&gt;=U17_Min,H15&lt;=U17_Max),VLOOKUP(K15,Minimas!$A$15:$F$29,4),IF(AND(H15&gt;=U15_Min,H15&lt;=U15_Max),VLOOKUP(K15,Minimas!$A$15:$F$29,3),VLOOKUP(K15,Minimas!$A$15:$F$29,2))))),IF(H15&lt;=SENIORS_Min,VLOOKUP(K15,Minimas!$G$15:$L$29,6),IF(AND(H15&gt;=U20_Min,H15&lt;=U20_Max),VLOOKUP(K15,Minimas!$G$15:$L$29,5),IF(AND(H15&gt;=U17_Min,H15&lt;=U17_Max),VLOOKUP(K15,Minimas!$G$15:$L$29,4),IF(AND(H15&gt;=U15_Min,H15&lt;=U15_Max),VLOOKUP(K15,Minimas!$G$15:$L$29,3),VLOOKUP(K15,Minimas!$G$15:$L$29,2)))))))</f>
        <v>SE M89</v>
      </c>
      <c r="W15" s="200">
        <f>IF(E15=" "," ",IF(E15="H",10^(0.722762521*LOG(K15/193.609)^2)*T15,IF(E15="F",10^(0.787004341* LOG(K15/153.757)^2)*T15,"")))</f>
        <v>352.78076309536038</v>
      </c>
      <c r="X15" s="82"/>
      <c r="Y15" s="80"/>
      <c r="Z15" s="80"/>
      <c r="AA15" s="57"/>
      <c r="AB15" s="46">
        <f>T15-HLOOKUP(V15,Minimas!$C$3:$CD$12,2,FALSE)</f>
        <v>138</v>
      </c>
      <c r="AC15" s="46">
        <f>T15-HLOOKUP(V15,Minimas!$C$3:$CD$12,3,FALSE)</f>
        <v>113</v>
      </c>
      <c r="AD15" s="46">
        <f>T15-HLOOKUP(V15,Minimas!$C$3:$CD$12,4,FALSE)</f>
        <v>88</v>
      </c>
      <c r="AE15" s="46">
        <f>T15-HLOOKUP(V15,Minimas!$C$3:$CD$12,5,FALSE)</f>
        <v>58</v>
      </c>
      <c r="AF15" s="46">
        <f>T15-HLOOKUP(V15,Minimas!$C$3:$CD$12,6,FALSE)</f>
        <v>28</v>
      </c>
      <c r="AG15" s="46">
        <f>T15-HLOOKUP(V15,Minimas!$C$3:$CD$12,7,FALSE)</f>
        <v>1</v>
      </c>
      <c r="AH15" s="46">
        <f>T15-HLOOKUP(V15,Minimas!$C$3:$CD$12,8,FALSE)</f>
        <v>-32</v>
      </c>
      <c r="AI15" s="46">
        <f>T15-HLOOKUP(V15,Minimas!$C$3:$CD$12,9,FALSE)</f>
        <v>-62</v>
      </c>
      <c r="AJ15" s="46">
        <f>T15-HLOOKUP(V15,Minimas!$C$3:$CD$12,10,FALSE)</f>
        <v>-9711</v>
      </c>
      <c r="AK15" s="47" t="str">
        <f t="shared" si="5"/>
        <v>NAT +</v>
      </c>
      <c r="AL15" s="47"/>
      <c r="AM15" s="47" t="str">
        <f t="shared" si="6"/>
        <v>NAT +</v>
      </c>
      <c r="AN15" s="47">
        <f t="shared" si="7"/>
        <v>1</v>
      </c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</row>
    <row r="16" spans="1:124" s="4" customFormat="1" ht="30" customHeight="1" x14ac:dyDescent="0.25">
      <c r="B16" s="188">
        <v>120</v>
      </c>
      <c r="C16" s="189"/>
      <c r="D16" s="201"/>
      <c r="E16" s="191" t="s">
        <v>133</v>
      </c>
      <c r="F16" s="301" t="s">
        <v>252</v>
      </c>
      <c r="G16" s="301" t="s">
        <v>253</v>
      </c>
      <c r="H16" s="301">
        <v>2007</v>
      </c>
      <c r="I16" s="301" t="s">
        <v>191</v>
      </c>
      <c r="J16" s="191" t="s">
        <v>271</v>
      </c>
      <c r="K16" s="194">
        <v>84.55</v>
      </c>
      <c r="L16" s="195">
        <v>105</v>
      </c>
      <c r="M16" s="195">
        <v>112</v>
      </c>
      <c r="N16" s="195">
        <v>118</v>
      </c>
      <c r="O16" s="279">
        <f t="shared" si="0"/>
        <v>118</v>
      </c>
      <c r="P16" s="195">
        <v>120</v>
      </c>
      <c r="Q16" s="195">
        <v>130</v>
      </c>
      <c r="R16" s="195">
        <v>-140</v>
      </c>
      <c r="S16" s="196">
        <f t="shared" si="1"/>
        <v>130</v>
      </c>
      <c r="T16" s="197">
        <f t="shared" si="2"/>
        <v>248</v>
      </c>
      <c r="U16" s="198" t="str">
        <f t="shared" si="3"/>
        <v>INTB + 3</v>
      </c>
      <c r="V16" s="199" t="str">
        <f>IF(E16=0," ",IF(E16="H",IF(H16&lt;=SENIORS_Min,VLOOKUP(K16,Minimas!$A$15:$F$29,6),IF(AND(H16&gt;=U20_Min,H16&lt;=U20_Max),VLOOKUP(K16,Minimas!$A$15:$F$29,5),IF(AND(H16&gt;=U17_Min,H16&lt;=U17_Max),VLOOKUP(K16,Minimas!$A$15:$F$29,4),IF(AND(H16&gt;=U15_Min,H16&lt;=U15_Max),VLOOKUP(K16,Minimas!$A$15:$F$29,3),VLOOKUP(K16,Minimas!$A$15:$F$29,2))))),IF(H16&lt;=SENIORS_Min,VLOOKUP(K16,Minimas!$G$15:$L$29,6),IF(AND(H16&gt;=U20_Min,H16&lt;=U20_Max),VLOOKUP(K16,Minimas!$G$15:$L$29,5),IF(AND(H16&gt;=U17_Min,H16&lt;=U17_Max),VLOOKUP(K16,Minimas!$G$15:$L$29,4),IF(AND(H16&gt;=U15_Min,H16&lt;=U15_Max),VLOOKUP(K16,Minimas!$G$15:$L$29,3),VLOOKUP(K16,Minimas!$G$15:$L$29,2)))))))</f>
        <v>U17 M89</v>
      </c>
      <c r="W16" s="200">
        <f t="shared" si="4"/>
        <v>307.62658155259425</v>
      </c>
      <c r="X16" s="82"/>
      <c r="Y16" s="80"/>
      <c r="Z16" s="80"/>
      <c r="AA16" s="57"/>
      <c r="AB16" s="46">
        <f>T16-HLOOKUP(V16,Minimas!$C$3:$CD$12,2,FALSE)</f>
        <v>133</v>
      </c>
      <c r="AC16" s="46">
        <f>T16-HLOOKUP(V16,Minimas!$C$3:$CD$12,3,FALSE)</f>
        <v>113</v>
      </c>
      <c r="AD16" s="46">
        <f>T16-HLOOKUP(V16,Minimas!$C$3:$CD$12,4,FALSE)</f>
        <v>88</v>
      </c>
      <c r="AE16" s="46">
        <f>T16-HLOOKUP(V16,Minimas!$C$3:$CD$12,5,FALSE)</f>
        <v>68</v>
      </c>
      <c r="AF16" s="46">
        <f>T16-HLOOKUP(V16,Minimas!$C$3:$CD$12,6,FALSE)</f>
        <v>48</v>
      </c>
      <c r="AG16" s="46">
        <f>T16-HLOOKUP(V16,Minimas!$C$3:$CD$12,7,FALSE)</f>
        <v>28</v>
      </c>
      <c r="AH16" s="46">
        <f>T16-HLOOKUP(V16,Minimas!$C$3:$CD$12,8,FALSE)</f>
        <v>3</v>
      </c>
      <c r="AI16" s="46">
        <f>T16-HLOOKUP(V16,Minimas!$C$3:$CD$12,9,FALSE)</f>
        <v>-27</v>
      </c>
      <c r="AJ16" s="46">
        <f>T16-HLOOKUP(V16,Minimas!$C$3:$CD$12,10,FALSE)</f>
        <v>-9751</v>
      </c>
      <c r="AK16" s="47" t="str">
        <f t="shared" si="5"/>
        <v>INTB +</v>
      </c>
      <c r="AL16" s="47"/>
      <c r="AM16" s="47" t="str">
        <f t="shared" si="6"/>
        <v>INTB +</v>
      </c>
      <c r="AN16" s="47">
        <f t="shared" si="7"/>
        <v>3</v>
      </c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</row>
    <row r="17" spans="2:107" s="4" customFormat="1" ht="30" customHeight="1" x14ac:dyDescent="0.25">
      <c r="B17" s="188">
        <v>121</v>
      </c>
      <c r="C17" s="189"/>
      <c r="D17" s="201"/>
      <c r="E17" s="191" t="s">
        <v>133</v>
      </c>
      <c r="F17" s="301" t="s">
        <v>254</v>
      </c>
      <c r="G17" s="301" t="s">
        <v>255</v>
      </c>
      <c r="H17" s="301">
        <v>1997</v>
      </c>
      <c r="I17" s="301" t="s">
        <v>160</v>
      </c>
      <c r="J17" s="191" t="s">
        <v>273</v>
      </c>
      <c r="K17" s="194">
        <v>97.35</v>
      </c>
      <c r="L17" s="195">
        <v>145</v>
      </c>
      <c r="M17" s="195">
        <v>150</v>
      </c>
      <c r="N17" s="195">
        <v>154</v>
      </c>
      <c r="O17" s="279">
        <f t="shared" si="0"/>
        <v>154</v>
      </c>
      <c r="P17" s="195">
        <v>168</v>
      </c>
      <c r="Q17" s="195">
        <v>175</v>
      </c>
      <c r="R17" s="195">
        <v>-180</v>
      </c>
      <c r="S17" s="196">
        <f t="shared" si="1"/>
        <v>175</v>
      </c>
      <c r="T17" s="197">
        <f t="shared" si="2"/>
        <v>329</v>
      </c>
      <c r="U17" s="198" t="str">
        <f t="shared" si="3"/>
        <v>NAT + 27</v>
      </c>
      <c r="V17" s="199" t="str">
        <f>IF(E17=0," ",IF(E17="H",IF(H17&lt;=SENIORS_Min,VLOOKUP(K17,Minimas!$A$15:$F$29,6),IF(AND(H17&gt;=U20_Min,H17&lt;=U20_Max),VLOOKUP(K17,Minimas!$A$15:$F$29,5),IF(AND(H17&gt;=U17_Min,H17&lt;=U17_Max),VLOOKUP(K17,Minimas!$A$15:$F$29,4),IF(AND(H17&gt;=U15_Min,H17&lt;=U15_Max),VLOOKUP(K17,Minimas!$A$15:$F$29,3),VLOOKUP(K17,Minimas!$A$15:$F$29,2))))),IF(H17&lt;=SENIORS_Min,VLOOKUP(K17,Minimas!$G$15:$L$29,6),IF(AND(H17&gt;=U20_Min,H17&lt;=U20_Max),VLOOKUP(K17,Minimas!$G$15:$L$29,5),IF(AND(H17&gt;=U17_Min,H17&lt;=U17_Max),VLOOKUP(K17,Minimas!$G$15:$L$29,4),IF(AND(H17&gt;=U15_Min,H17&lt;=U15_Max),VLOOKUP(K17,Minimas!$G$15:$L$29,3),VLOOKUP(K17,Minimas!$G$15:$L$29,2)))))))</f>
        <v>SE M102</v>
      </c>
      <c r="W17" s="200">
        <f t="shared" si="4"/>
        <v>381.62281080213785</v>
      </c>
      <c r="X17" s="82"/>
      <c r="Y17" s="80"/>
      <c r="Z17" s="80"/>
      <c r="AA17" s="57"/>
      <c r="AB17" s="46">
        <f>T17-HLOOKUP(V17,Minimas!$C$3:$CD$12,2,FALSE)</f>
        <v>169</v>
      </c>
      <c r="AC17" s="46">
        <f>T17-HLOOKUP(V17,Minimas!$C$3:$CD$12,3,FALSE)</f>
        <v>144</v>
      </c>
      <c r="AD17" s="46">
        <f>T17-HLOOKUP(V17,Minimas!$C$3:$CD$12,4,FALSE)</f>
        <v>119</v>
      </c>
      <c r="AE17" s="46">
        <f>T17-HLOOKUP(V17,Minimas!$C$3:$CD$12,5,FALSE)</f>
        <v>89</v>
      </c>
      <c r="AF17" s="46">
        <f>T17-HLOOKUP(V17,Minimas!$C$3:$CD$12,6,FALSE)</f>
        <v>59</v>
      </c>
      <c r="AG17" s="46">
        <f>T17-HLOOKUP(V17,Minimas!$C$3:$CD$12,7,FALSE)</f>
        <v>27</v>
      </c>
      <c r="AH17" s="46">
        <f>T17-HLOOKUP(V17,Minimas!$C$3:$CD$12,8,FALSE)</f>
        <v>-11</v>
      </c>
      <c r="AI17" s="46">
        <f>T17-HLOOKUP(V17,Minimas!$C$3:$CD$12,9,FALSE)</f>
        <v>-41</v>
      </c>
      <c r="AJ17" s="46">
        <f>T17-HLOOKUP(V17,Minimas!$C$3:$CD$12,10,FALSE)</f>
        <v>-9670</v>
      </c>
      <c r="AK17" s="47" t="str">
        <f t="shared" si="5"/>
        <v>NAT +</v>
      </c>
      <c r="AL17" s="47"/>
      <c r="AM17" s="47" t="str">
        <f t="shared" si="6"/>
        <v>NAT +</v>
      </c>
      <c r="AN17" s="47">
        <f t="shared" si="7"/>
        <v>27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</row>
    <row r="18" spans="2:107" s="4" customFormat="1" ht="30" customHeight="1" x14ac:dyDescent="0.25">
      <c r="B18" s="188">
        <v>122</v>
      </c>
      <c r="C18" s="189"/>
      <c r="D18" s="201"/>
      <c r="E18" s="191" t="s">
        <v>133</v>
      </c>
      <c r="F18" s="301" t="s">
        <v>256</v>
      </c>
      <c r="G18" s="301" t="s">
        <v>257</v>
      </c>
      <c r="H18" s="301">
        <v>1995</v>
      </c>
      <c r="I18" s="301" t="s">
        <v>157</v>
      </c>
      <c r="J18" s="191" t="s">
        <v>270</v>
      </c>
      <c r="K18" s="194">
        <v>96.25</v>
      </c>
      <c r="L18" s="195">
        <v>-150</v>
      </c>
      <c r="M18" s="195">
        <v>150</v>
      </c>
      <c r="N18" s="195">
        <v>0</v>
      </c>
      <c r="O18" s="279">
        <f t="shared" si="0"/>
        <v>150</v>
      </c>
      <c r="P18" s="195">
        <v>185</v>
      </c>
      <c r="Q18" s="195">
        <v>-190</v>
      </c>
      <c r="R18" s="195">
        <v>0</v>
      </c>
      <c r="S18" s="196">
        <f t="shared" si="1"/>
        <v>185</v>
      </c>
      <c r="T18" s="197">
        <f t="shared" si="2"/>
        <v>335</v>
      </c>
      <c r="U18" s="198" t="str">
        <f t="shared" si="3"/>
        <v>NAT + 33</v>
      </c>
      <c r="V18" s="199" t="str">
        <f>IF(E18=0," ",IF(E18="H",IF(H18&lt;=SENIORS_Min,VLOOKUP(K18,Minimas!$A$15:$F$29,6),IF(AND(H18&gt;=U20_Min,H18&lt;=U20_Max),VLOOKUP(K18,Minimas!$A$15:$F$29,5),IF(AND(H18&gt;=U17_Min,H18&lt;=U17_Max),VLOOKUP(K18,Minimas!$A$15:$F$29,4),IF(AND(H18&gt;=U15_Min,H18&lt;=U15_Max),VLOOKUP(K18,Minimas!$A$15:$F$29,3),VLOOKUP(K18,Minimas!$A$15:$F$29,2))))),IF(H18&lt;=SENIORS_Min,VLOOKUP(K18,Minimas!$G$15:$L$29,6),IF(AND(H18&gt;=U20_Min,H18&lt;=U20_Max),VLOOKUP(K18,Minimas!$G$15:$L$29,5),IF(AND(H18&gt;=U17_Min,H18&lt;=U17_Max),VLOOKUP(K18,Minimas!$G$15:$L$29,4),IF(AND(H18&gt;=U15_Min,H18&lt;=U15_Max),VLOOKUP(K18,Minimas!$G$15:$L$29,3),VLOOKUP(K18,Minimas!$G$15:$L$29,2)))))))</f>
        <v>SE M102</v>
      </c>
      <c r="W18" s="200">
        <f t="shared" si="4"/>
        <v>390.508931511279</v>
      </c>
      <c r="X18" s="82"/>
      <c r="Y18" s="80"/>
      <c r="Z18" s="80"/>
      <c r="AA18" s="57"/>
      <c r="AB18" s="46">
        <f>T18-HLOOKUP(V18,Minimas!$C$3:$CD$12,2,FALSE)</f>
        <v>175</v>
      </c>
      <c r="AC18" s="46">
        <f>T18-HLOOKUP(V18,Minimas!$C$3:$CD$12,3,FALSE)</f>
        <v>150</v>
      </c>
      <c r="AD18" s="46">
        <f>T18-HLOOKUP(V18,Minimas!$C$3:$CD$12,4,FALSE)</f>
        <v>125</v>
      </c>
      <c r="AE18" s="46">
        <f>T18-HLOOKUP(V18,Minimas!$C$3:$CD$12,5,FALSE)</f>
        <v>95</v>
      </c>
      <c r="AF18" s="46">
        <f>T18-HLOOKUP(V18,Minimas!$C$3:$CD$12,6,FALSE)</f>
        <v>65</v>
      </c>
      <c r="AG18" s="46">
        <f>T18-HLOOKUP(V18,Minimas!$C$3:$CD$12,7,FALSE)</f>
        <v>33</v>
      </c>
      <c r="AH18" s="46">
        <f>T18-HLOOKUP(V18,Minimas!$C$3:$CD$12,8,FALSE)</f>
        <v>-5</v>
      </c>
      <c r="AI18" s="46">
        <f>T18-HLOOKUP(V18,Minimas!$C$3:$CD$12,9,FALSE)</f>
        <v>-35</v>
      </c>
      <c r="AJ18" s="46">
        <f>T18-HLOOKUP(V18,Minimas!$C$3:$CD$12,10,FALSE)</f>
        <v>-9664</v>
      </c>
      <c r="AK18" s="47" t="str">
        <f t="shared" si="5"/>
        <v>NAT +</v>
      </c>
      <c r="AL18" s="47"/>
      <c r="AM18" s="47" t="str">
        <f t="shared" si="6"/>
        <v>NAT +</v>
      </c>
      <c r="AN18" s="47">
        <f t="shared" si="7"/>
        <v>33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</row>
    <row r="19" spans="2:107" s="4" customFormat="1" ht="30" customHeight="1" x14ac:dyDescent="0.25">
      <c r="B19" s="188"/>
      <c r="C19" s="189"/>
      <c r="D19" s="201"/>
      <c r="E19" s="191"/>
      <c r="F19" s="191"/>
      <c r="G19" s="192"/>
      <c r="H19" s="193"/>
      <c r="I19" s="278"/>
      <c r="J19" s="191"/>
      <c r="K19" s="194"/>
      <c r="L19" s="195"/>
      <c r="M19" s="195"/>
      <c r="N19" s="195"/>
      <c r="O19" s="279" t="str">
        <f t="shared" si="0"/>
        <v/>
      </c>
      <c r="P19" s="195"/>
      <c r="Q19" s="195"/>
      <c r="R19" s="195"/>
      <c r="S19" s="196" t="str">
        <f t="shared" si="1"/>
        <v/>
      </c>
      <c r="T19" s="197" t="str">
        <f t="shared" si="2"/>
        <v/>
      </c>
      <c r="U19" s="198" t="str">
        <f t="shared" si="3"/>
        <v xml:space="preserve">   </v>
      </c>
      <c r="V19" s="199" t="str">
        <f>IF(E19=0," ",IF(E19="H",IF(H19&lt;=SENIORS_Min,VLOOKUP(K19,Minimas!$A$15:$F$29,6),IF(AND(H19&gt;=U20_Min,H19&lt;=U20_Max),VLOOKUP(K19,Minimas!$A$15:$F$29,5),IF(AND(H19&gt;=U17_Min,H19&lt;=U17_Max),VLOOKUP(K19,Minimas!$A$15:$F$29,4),IF(AND(H19&gt;=U15_Min,H19&lt;=U15_Max),VLOOKUP(K19,Minimas!$A$15:$F$29,3),VLOOKUP(K19,Minimas!$A$15:$F$29,2))))),IF(H19&lt;=SENIORS_Min,VLOOKUP(K19,Minimas!$G$15:$L$29,6),IF(AND(H19&gt;=U20_Min,H19&lt;=U20_Max),VLOOKUP(K19,Minimas!$G$15:$L$29,5),IF(AND(H19&gt;=U17_Min,H19&lt;=U17_Max),VLOOKUP(K19,Minimas!$G$15:$L$29,4),IF(AND(H19&gt;=U15_Min,H19&lt;=U15_Max),VLOOKUP(K19,Minimas!$G$15:$L$29,3),VLOOKUP(K19,Minimas!$G$15:$L$29,2)))))))</f>
        <v xml:space="preserve"> </v>
      </c>
      <c r="W19" s="200" t="str">
        <f t="shared" si="4"/>
        <v/>
      </c>
      <c r="X19" s="82"/>
      <c r="Y19" s="80"/>
      <c r="Z19" s="80"/>
      <c r="AA19" s="57"/>
      <c r="AB19" s="46" t="e">
        <f>T19-HLOOKUP(V19,Minimas!$C$3:$CD$12,2,FALSE)</f>
        <v>#VALUE!</v>
      </c>
      <c r="AC19" s="46" t="e">
        <f>T19-HLOOKUP(V19,Minimas!$C$3:$CD$12,3,FALSE)</f>
        <v>#VALUE!</v>
      </c>
      <c r="AD19" s="46" t="e">
        <f>T19-HLOOKUP(V19,Minimas!$C$3:$CD$12,4,FALSE)</f>
        <v>#VALUE!</v>
      </c>
      <c r="AE19" s="46" t="e">
        <f>T19-HLOOKUP(V19,Minimas!$C$3:$CD$12,5,FALSE)</f>
        <v>#VALUE!</v>
      </c>
      <c r="AF19" s="46" t="e">
        <f>T19-HLOOKUP(V19,Minimas!$C$3:$CD$12,6,FALSE)</f>
        <v>#VALUE!</v>
      </c>
      <c r="AG19" s="46" t="e">
        <f>T19-HLOOKUP(V19,Minimas!$C$3:$CD$12,7,FALSE)</f>
        <v>#VALUE!</v>
      </c>
      <c r="AH19" s="46" t="e">
        <f>T19-HLOOKUP(V19,Minimas!$C$3:$CD$12,8,FALSE)</f>
        <v>#VALUE!</v>
      </c>
      <c r="AI19" s="46" t="e">
        <f>T19-HLOOKUP(V19,Minimas!$C$3:$CD$12,9,FALSE)</f>
        <v>#VALUE!</v>
      </c>
      <c r="AJ19" s="46" t="e">
        <f>T19-HLOOKUP(V19,Minimas!$C$3:$CD$12,10,FALSE)</f>
        <v>#VALUE!</v>
      </c>
      <c r="AK19" s="47" t="str">
        <f t="shared" si="5"/>
        <v xml:space="preserve"> </v>
      </c>
      <c r="AL19" s="47"/>
      <c r="AM19" s="47" t="str">
        <f t="shared" si="6"/>
        <v xml:space="preserve"> </v>
      </c>
      <c r="AN19" s="47" t="str">
        <f t="shared" si="7"/>
        <v xml:space="preserve"> </v>
      </c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</row>
    <row r="20" spans="2:107" s="4" customFormat="1" ht="30" customHeight="1" x14ac:dyDescent="0.25">
      <c r="B20" s="188"/>
      <c r="C20" s="189"/>
      <c r="D20" s="201"/>
      <c r="E20" s="191"/>
      <c r="F20" s="191"/>
      <c r="G20" s="192"/>
      <c r="H20" s="193"/>
      <c r="I20" s="219"/>
      <c r="J20" s="191"/>
      <c r="K20" s="194"/>
      <c r="L20" s="195"/>
      <c r="M20" s="195"/>
      <c r="N20" s="195"/>
      <c r="O20" s="196" t="str">
        <f t="shared" si="0"/>
        <v/>
      </c>
      <c r="P20" s="195"/>
      <c r="Q20" s="195"/>
      <c r="R20" s="195"/>
      <c r="S20" s="196" t="str">
        <f t="shared" si="1"/>
        <v/>
      </c>
      <c r="T20" s="197" t="str">
        <f t="shared" si="2"/>
        <v/>
      </c>
      <c r="U20" s="198" t="str">
        <f t="shared" si="3"/>
        <v xml:space="preserve">   </v>
      </c>
      <c r="V20" s="199" t="str">
        <f>IF(E20=0," ",IF(E20="H",IF(H20&lt;=SENIORS_Min,VLOOKUP(K20,Minimas!$A$15:$F$29,6),IF(AND(H20&gt;=U20_Min,H20&lt;=U20_Max),VLOOKUP(K20,Minimas!$A$15:$F$29,5),IF(AND(H20&gt;=U17_Min,H20&lt;=U17_Max),VLOOKUP(K20,Minimas!$A$15:$F$29,4),IF(AND(H20&gt;=U15_Min,H20&lt;=U15_Max),VLOOKUP(K20,Minimas!$A$15:$F$29,3),VLOOKUP(K20,Minimas!$A$15:$F$29,2))))),IF(H20&lt;=SENIORS_Min,VLOOKUP(K20,Minimas!$G$15:$L$29,6),IF(AND(H20&gt;=U20_Min,H20&lt;=U20_Max),VLOOKUP(K20,Minimas!$G$15:$L$29,5),IF(AND(H20&gt;=U17_Min,H20&lt;=U17_Max),VLOOKUP(K20,Minimas!$G$15:$L$29,4),IF(AND(H20&gt;=U15_Min,H20&lt;=U15_Max),VLOOKUP(K20,Minimas!$G$15:$L$29,3),VLOOKUP(K20,Minimas!$G$15:$L$29,2)))))))</f>
        <v xml:space="preserve"> </v>
      </c>
      <c r="W20" s="200" t="str">
        <f t="shared" si="4"/>
        <v/>
      </c>
      <c r="X20" s="82"/>
      <c r="Y20" s="80"/>
      <c r="Z20" s="80"/>
      <c r="AA20" s="57"/>
      <c r="AB20" s="46" t="e">
        <f>T20-HLOOKUP(V20,Minimas!$C$3:$CD$12,2,FALSE)</f>
        <v>#VALUE!</v>
      </c>
      <c r="AC20" s="46" t="e">
        <f>T20-HLOOKUP(V20,Minimas!$C$3:$CD$12,3,FALSE)</f>
        <v>#VALUE!</v>
      </c>
      <c r="AD20" s="46" t="e">
        <f>T20-HLOOKUP(V20,Minimas!$C$3:$CD$12,4,FALSE)</f>
        <v>#VALUE!</v>
      </c>
      <c r="AE20" s="46" t="e">
        <f>T20-HLOOKUP(V20,Minimas!$C$3:$CD$12,5,FALSE)</f>
        <v>#VALUE!</v>
      </c>
      <c r="AF20" s="46" t="e">
        <f>T20-HLOOKUP(V20,Minimas!$C$3:$CD$12,6,FALSE)</f>
        <v>#VALUE!</v>
      </c>
      <c r="AG20" s="46" t="e">
        <f>T20-HLOOKUP(V20,Minimas!$C$3:$CD$12,7,FALSE)</f>
        <v>#VALUE!</v>
      </c>
      <c r="AH20" s="46" t="e">
        <f>T20-HLOOKUP(V20,Minimas!$C$3:$CD$12,8,FALSE)</f>
        <v>#VALUE!</v>
      </c>
      <c r="AI20" s="46" t="e">
        <f>T20-HLOOKUP(V20,Minimas!$C$3:$CD$12,9,FALSE)</f>
        <v>#VALUE!</v>
      </c>
      <c r="AJ20" s="46" t="e">
        <f>T20-HLOOKUP(V20,Minimas!$C$3:$CD$12,10,FALSE)</f>
        <v>#VALUE!</v>
      </c>
      <c r="AK20" s="47" t="str">
        <f t="shared" si="5"/>
        <v xml:space="preserve"> </v>
      </c>
      <c r="AL20" s="47"/>
      <c r="AM20" s="47" t="str">
        <f t="shared" si="6"/>
        <v xml:space="preserve"> </v>
      </c>
      <c r="AN20" s="47" t="str">
        <f t="shared" si="7"/>
        <v xml:space="preserve"> </v>
      </c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</row>
    <row r="21" spans="2:107" s="4" customFormat="1" ht="30" customHeight="1" thickBot="1" x14ac:dyDescent="0.3">
      <c r="B21" s="202"/>
      <c r="C21" s="203"/>
      <c r="D21" s="204"/>
      <c r="E21" s="205"/>
      <c r="F21" s="299"/>
      <c r="G21" s="206"/>
      <c r="H21" s="207"/>
      <c r="I21" s="208"/>
      <c r="J21" s="205"/>
      <c r="K21" s="209"/>
      <c r="L21" s="210"/>
      <c r="M21" s="211"/>
      <c r="N21" s="211"/>
      <c r="O21" s="212" t="str">
        <f t="shared" si="0"/>
        <v/>
      </c>
      <c r="P21" s="210"/>
      <c r="Q21" s="211"/>
      <c r="R21" s="211"/>
      <c r="S21" s="212" t="str">
        <f t="shared" si="1"/>
        <v/>
      </c>
      <c r="T21" s="213" t="str">
        <f t="shared" si="2"/>
        <v/>
      </c>
      <c r="U21" s="214" t="str">
        <f t="shared" si="3"/>
        <v xml:space="preserve">   </v>
      </c>
      <c r="V21" s="215" t="str">
        <f>IF(E21=0," ",IF(E21="H",IF(H21&lt;=SENIORS_Min,VLOOKUP(K21,Minimas!$A$15:$F$29,6),IF(AND(H21&gt;=U20_Min,H21&lt;=U20_Max),VLOOKUP(K21,Minimas!$A$15:$F$29,5),IF(AND(H21&gt;=U17_Min,H21&lt;=U17_Max),VLOOKUP(K21,Minimas!$A$15:$F$29,4),IF(AND(H21&gt;=U15_Min,H21&lt;=U15_Max),VLOOKUP(K21,Minimas!$A$15:$F$29,3),VLOOKUP(K21,Minimas!$A$15:$F$29,2))))),IF(H21&lt;=SENIORS_Min,VLOOKUP(K21,Minimas!$G$15:$L$29,6),IF(AND(H21&gt;=U20_Min,H21&lt;=U20_Max),VLOOKUP(K21,Minimas!$G$15:$L$29,5),IF(AND(H21&gt;=U17_Min,H21&lt;=U17_Max),VLOOKUP(K21,Minimas!$G$15:$L$29,4),IF(AND(H21&gt;=U15_Min,H21&lt;=U15_Max),VLOOKUP(K21,Minimas!$G$15:$L$29,3),VLOOKUP(K21,Minimas!$G$15:$L$29,2)))))))</f>
        <v xml:space="preserve"> </v>
      </c>
      <c r="W21" s="216" t="str">
        <f t="shared" si="4"/>
        <v/>
      </c>
      <c r="X21" s="82"/>
      <c r="Y21" s="80"/>
      <c r="Z21" s="80"/>
      <c r="AA21" s="57"/>
      <c r="AB21" s="46" t="e">
        <f>T21-HLOOKUP(V21,Minimas!$C$3:$CD$12,2,FALSE)</f>
        <v>#VALUE!</v>
      </c>
      <c r="AC21" s="46" t="e">
        <f>T21-HLOOKUP(V21,Minimas!$C$3:$CD$12,3,FALSE)</f>
        <v>#VALUE!</v>
      </c>
      <c r="AD21" s="46" t="e">
        <f>T21-HLOOKUP(V21,Minimas!$C$3:$CD$12,4,FALSE)</f>
        <v>#VALUE!</v>
      </c>
      <c r="AE21" s="46" t="e">
        <f>T21-HLOOKUP(V21,Minimas!$C$3:$CD$12,5,FALSE)</f>
        <v>#VALUE!</v>
      </c>
      <c r="AF21" s="46" t="e">
        <f>T21-HLOOKUP(V21,Minimas!$C$3:$CD$12,6,FALSE)</f>
        <v>#VALUE!</v>
      </c>
      <c r="AG21" s="46" t="e">
        <f>T21-HLOOKUP(V21,Minimas!$C$3:$CD$12,7,FALSE)</f>
        <v>#VALUE!</v>
      </c>
      <c r="AH21" s="46" t="e">
        <f>T21-HLOOKUP(V21,Minimas!$C$3:$CD$12,8,FALSE)</f>
        <v>#VALUE!</v>
      </c>
      <c r="AI21" s="46" t="e">
        <f>T21-HLOOKUP(V21,Minimas!$C$3:$CD$12,9,FALSE)</f>
        <v>#VALUE!</v>
      </c>
      <c r="AJ21" s="46" t="e">
        <f>T21-HLOOKUP(V21,Minimas!$C$3:$CD$12,10,FALSE)</f>
        <v>#VALUE!</v>
      </c>
      <c r="AK21" s="47" t="str">
        <f t="shared" si="5"/>
        <v xml:space="preserve"> </v>
      </c>
      <c r="AL21" s="47"/>
      <c r="AM21" s="47" t="str">
        <f t="shared" si="6"/>
        <v xml:space="preserve"> </v>
      </c>
      <c r="AN21" s="47" t="str">
        <f t="shared" si="7"/>
        <v xml:space="preserve"> </v>
      </c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</row>
    <row r="22" spans="2:107" s="4" customFormat="1" ht="30" customHeight="1" x14ac:dyDescent="0.25">
      <c r="B22" s="238"/>
      <c r="C22" s="239"/>
      <c r="D22" s="240"/>
      <c r="E22" s="241"/>
      <c r="F22" s="290"/>
      <c r="G22" s="231" t="s">
        <v>154</v>
      </c>
      <c r="H22" s="242"/>
      <c r="I22" s="231" t="s">
        <v>155</v>
      </c>
      <c r="J22" s="243"/>
      <c r="K22" s="244"/>
      <c r="L22" s="352" t="s">
        <v>156</v>
      </c>
      <c r="M22" s="353"/>
      <c r="N22" s="353"/>
      <c r="O22" s="354"/>
      <c r="P22" s="359" t="s">
        <v>162</v>
      </c>
      <c r="Q22" s="360"/>
      <c r="R22" s="360"/>
      <c r="S22" s="361"/>
      <c r="T22" s="356" t="s">
        <v>163</v>
      </c>
      <c r="U22" s="357"/>
      <c r="V22" s="357"/>
      <c r="W22" s="358"/>
      <c r="X22" s="82"/>
      <c r="Y22" s="80"/>
      <c r="Z22" s="80"/>
      <c r="AA22" s="57"/>
      <c r="AB22" s="46" t="e">
        <f>T22-HLOOKUP(V22,Minimas!$C$3:$CD$12,2,FALSE)</f>
        <v>#VALUE!</v>
      </c>
      <c r="AC22" s="46" t="e">
        <f>T22-HLOOKUP(V22,Minimas!$C$3:$CD$12,3,FALSE)</f>
        <v>#VALUE!</v>
      </c>
      <c r="AD22" s="46" t="e">
        <f>T22-HLOOKUP(V22,Minimas!$C$3:$CD$12,4,FALSE)</f>
        <v>#VALUE!</v>
      </c>
      <c r="AE22" s="46" t="e">
        <f>T22-HLOOKUP(V22,Minimas!$C$3:$CD$12,5,FALSE)</f>
        <v>#VALUE!</v>
      </c>
      <c r="AF22" s="46" t="e">
        <f>T22-HLOOKUP(V22,Minimas!$C$3:$CD$12,6,FALSE)</f>
        <v>#VALUE!</v>
      </c>
      <c r="AG22" s="46" t="e">
        <f>T22-HLOOKUP(V22,Minimas!$C$3:$CD$12,7,FALSE)</f>
        <v>#VALUE!</v>
      </c>
      <c r="AH22" s="46" t="e">
        <f>T22-HLOOKUP(V22,Minimas!$C$3:$CD$12,8,FALSE)</f>
        <v>#VALUE!</v>
      </c>
      <c r="AI22" s="46" t="e">
        <f>T22-HLOOKUP(V22,Minimas!$C$3:$CD$12,9,FALSE)</f>
        <v>#VALUE!</v>
      </c>
      <c r="AJ22" s="46" t="e">
        <f>T22-HLOOKUP(V22,Minimas!$C$3:$CD$12,10,FALSE)</f>
        <v>#VALUE!</v>
      </c>
      <c r="AK22" s="47" t="str">
        <f>IF(E22=0," ",IF(AJ22&gt;=0,$AJ$5,IF(AI22&gt;=0,$AI$5,IF(AH22&gt;=0,$AH$5,IF(AG22&gt;=0,$AG$5,IF(AF22&gt;=0,$AF$5,IF(AE22&gt;=0,$AE$5,IF(AD22&gt;=0,$AD$5,IF(AC22&gt;=0,$AC$5,$AB$5)))))))))</f>
        <v xml:space="preserve"> </v>
      </c>
      <c r="AL22" s="47"/>
      <c r="AM22" s="47" t="str">
        <f>IF(AK22="","",AK22)</f>
        <v xml:space="preserve"> </v>
      </c>
      <c r="AN22" s="47" t="str">
        <f>IF(E22=0," ",IF(AJ22&gt;=0,AJ22,IF(AI22&gt;=0,AI22,IF(AH22&gt;=0,AH22,IF(AG22&gt;=0,AG22,IF(AF22&gt;=0,AF22,IF(AE22&gt;=0,AE22,IF(AD22&gt;=0,AD22,IF(AC22&gt;=0,AC22,AB22)))))))))</f>
        <v xml:space="preserve"> </v>
      </c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2:107" s="4" customFormat="1" ht="30" customHeight="1" x14ac:dyDescent="0.25">
      <c r="B23" s="248"/>
      <c r="C23" s="76"/>
      <c r="D23" s="77"/>
      <c r="E23" s="226"/>
      <c r="F23" s="291"/>
      <c r="G23" s="237" t="s">
        <v>264</v>
      </c>
      <c r="H23" s="228"/>
      <c r="I23" s="237" t="s">
        <v>265</v>
      </c>
      <c r="J23" s="229"/>
      <c r="K23" s="227"/>
      <c r="L23" s="337" t="s">
        <v>276</v>
      </c>
      <c r="M23" s="338"/>
      <c r="N23" s="338"/>
      <c r="O23" s="339"/>
      <c r="P23" s="362"/>
      <c r="Q23" s="363"/>
      <c r="R23" s="363"/>
      <c r="S23" s="364"/>
      <c r="T23" s="343" t="s">
        <v>296</v>
      </c>
      <c r="U23" s="344"/>
      <c r="V23" s="344"/>
      <c r="W23" s="345"/>
      <c r="X23" s="82"/>
      <c r="Y23" s="80"/>
      <c r="Z23" s="80"/>
      <c r="AA23" s="57"/>
      <c r="AB23" s="46" t="e">
        <f>T23-HLOOKUP(V23,Minimas!$C$3:$CD$12,2,FALSE)</f>
        <v>#VALUE!</v>
      </c>
      <c r="AC23" s="46" t="e">
        <f>T23-HLOOKUP(V23,Minimas!$C$3:$CD$12,3,FALSE)</f>
        <v>#VALUE!</v>
      </c>
      <c r="AD23" s="46" t="e">
        <f>T23-HLOOKUP(V23,Minimas!$C$3:$CD$12,4,FALSE)</f>
        <v>#VALUE!</v>
      </c>
      <c r="AE23" s="46" t="e">
        <f>T23-HLOOKUP(V23,Minimas!$C$3:$CD$12,5,FALSE)</f>
        <v>#VALUE!</v>
      </c>
      <c r="AF23" s="46" t="e">
        <f>T23-HLOOKUP(V23,Minimas!$C$3:$CD$12,6,FALSE)</f>
        <v>#VALUE!</v>
      </c>
      <c r="AG23" s="46" t="e">
        <f>T23-HLOOKUP(V23,Minimas!$C$3:$CD$12,7,FALSE)</f>
        <v>#VALUE!</v>
      </c>
      <c r="AH23" s="46" t="e">
        <f>T23-HLOOKUP(V23,Minimas!$C$3:$CD$12,8,FALSE)</f>
        <v>#VALUE!</v>
      </c>
      <c r="AI23" s="46" t="e">
        <f>T23-HLOOKUP(V23,Minimas!$C$3:$CD$12,9,FALSE)</f>
        <v>#VALUE!</v>
      </c>
      <c r="AJ23" s="46" t="e">
        <f>T23-HLOOKUP(V23,Minimas!$C$3:$CD$12,10,FALSE)</f>
        <v>#VALUE!</v>
      </c>
      <c r="AK23" s="47" t="str">
        <f>IF(E23=0," ",IF(AJ23&gt;=0,$AJ$5,IF(AI23&gt;=0,$AI$5,IF(AH23&gt;=0,$AH$5,IF(AG23&gt;=0,$AG$5,IF(AF23&gt;=0,$AF$5,IF(AE23&gt;=0,$AE$5,IF(AD23&gt;=0,$AD$5,IF(AC23&gt;=0,$AC$5,$AB$5)))))))))</f>
        <v xml:space="preserve"> </v>
      </c>
      <c r="AL23" s="47"/>
      <c r="AM23" s="47" t="str">
        <f>IF(AK23="","",AK23)</f>
        <v xml:space="preserve"> </v>
      </c>
      <c r="AN23" s="47" t="str">
        <f>IF(E23=0," ",IF(AJ23&gt;=0,AJ23,IF(AI23&gt;=0,AI23,IF(AH23&gt;=0,AH23,IF(AG23&gt;=0,AG23,IF(AF23&gt;=0,AF23,IF(AE23&gt;=0,AE23,IF(AD23&gt;=0,AD23,IF(AC23&gt;=0,AC23,AB23)))))))))</f>
        <v xml:space="preserve"> </v>
      </c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</row>
    <row r="24" spans="2:107" s="4" customFormat="1" ht="30" customHeight="1" thickBot="1" x14ac:dyDescent="0.3">
      <c r="B24" s="249"/>
      <c r="C24" s="250"/>
      <c r="D24" s="251"/>
      <c r="E24" s="252"/>
      <c r="F24" s="292"/>
      <c r="G24" s="232"/>
      <c r="H24" s="253"/>
      <c r="I24" s="233"/>
      <c r="J24" s="254"/>
      <c r="K24" s="255"/>
      <c r="L24" s="234"/>
      <c r="M24" s="235"/>
      <c r="N24" s="235"/>
      <c r="O24" s="110" t="str">
        <f>IF(E24="","",IF(MAXA(L24:N24)&lt;=0,0,MAXA(L24:N24)))</f>
        <v/>
      </c>
      <c r="P24" s="256"/>
      <c r="Q24" s="235"/>
      <c r="R24" s="235"/>
      <c r="S24" s="110" t="str">
        <f>IF(E24="","",IF(MAXA(P24:R24)&lt;=0,0,MAXA(P24:R24)))</f>
        <v/>
      </c>
      <c r="T24" s="111" t="str">
        <f>IF(E24="","",IF(OR(O24=0,S24=0),0,O24+S24))</f>
        <v/>
      </c>
      <c r="U24" s="112" t="str">
        <f>+CONCATENATE(AM24," ",AN24)</f>
        <v xml:space="preserve">   </v>
      </c>
      <c r="V24" s="236" t="str">
        <f>IF(E24=0," ",IF(E24="H",IF(H24&lt;=SENIORS_Min,VLOOKUP(K24,Minimas!$A$15:$F$29,6),IF(AND(H24&gt;=U20_Min,H24&lt;=U20_Max),VLOOKUP(K24,Minimas!$A$15:$F$29,5),IF(AND(H24&gt;=U17_Min,H24&lt;=U17_Max),VLOOKUP(K24,Minimas!$A$15:$F$29,4),IF(AND(H24&gt;=U15_Min,H24&lt;=U15_Max),VLOOKUP(K24,Minimas!$A$15:$F$29,3),VLOOKUP(K24,Minimas!$A$15:$F$29,2))))),IF(H24&lt;=SENIORS_Min,VLOOKUP(K24,Minimas!$G$15:$L$29,6),IF(AND(H24&gt;=U20_Min,H24&lt;=U20_Max),VLOOKUP(K24,Minimas!$G$15:$L$29,5),IF(AND(H24&gt;=U17_Min,H24&lt;=U17_Max),VLOOKUP(K24,Minimas!$G$15:$L$29,4),IF(AND(H24&gt;=U15_Min,H24&lt;=U15_Max),VLOOKUP(K24,Minimas!$G$15:$L$29,3),VLOOKUP(K24,Minimas!$G$15:$L$29,2)))))))</f>
        <v xml:space="preserve"> </v>
      </c>
      <c r="W24" s="114" t="str">
        <f>IF(E24=" "," ",IF(E24="H",10^(0.722762521*LOG(K24/193.609)^2)*T24,IF(E24="F",10^(0.787004341* LOG(K24/153.757)^2)*T24,"")))</f>
        <v/>
      </c>
      <c r="X24" s="82"/>
      <c r="Y24" s="80"/>
      <c r="Z24" s="80"/>
      <c r="AA24" s="57"/>
      <c r="AB24" s="46" t="e">
        <f>T24-HLOOKUP(V24,Minimas!$C$3:$CD$12,2,FALSE)</f>
        <v>#VALUE!</v>
      </c>
      <c r="AC24" s="46" t="e">
        <f>T24-HLOOKUP(V24,Minimas!$C$3:$CD$12,3,FALSE)</f>
        <v>#VALUE!</v>
      </c>
      <c r="AD24" s="46" t="e">
        <f>T24-HLOOKUP(V24,Minimas!$C$3:$CD$12,4,FALSE)</f>
        <v>#VALUE!</v>
      </c>
      <c r="AE24" s="46" t="e">
        <f>T24-HLOOKUP(V24,Minimas!$C$3:$CD$12,5,FALSE)</f>
        <v>#VALUE!</v>
      </c>
      <c r="AF24" s="46" t="e">
        <f>T24-HLOOKUP(V24,Minimas!$C$3:$CD$12,6,FALSE)</f>
        <v>#VALUE!</v>
      </c>
      <c r="AG24" s="46" t="e">
        <f>T24-HLOOKUP(V24,Minimas!$C$3:$CD$12,7,FALSE)</f>
        <v>#VALUE!</v>
      </c>
      <c r="AH24" s="46" t="e">
        <f>T24-HLOOKUP(V24,Minimas!$C$3:$CD$12,8,FALSE)</f>
        <v>#VALUE!</v>
      </c>
      <c r="AI24" s="46" t="e">
        <f>T24-HLOOKUP(V24,Minimas!$C$3:$CD$12,9,FALSE)</f>
        <v>#VALUE!</v>
      </c>
      <c r="AJ24" s="46" t="e">
        <f>T24-HLOOKUP(V24,Minimas!$C$3:$CD$12,10,FALSE)</f>
        <v>#VALUE!</v>
      </c>
      <c r="AK24" s="47" t="str">
        <f>IF(E24=0," ",IF(AJ24&gt;=0,$AJ$5,IF(AI24&gt;=0,$AI$5,IF(AH24&gt;=0,$AH$5,IF(AG24&gt;=0,$AG$5,IF(AF24&gt;=0,$AF$5,IF(AE24&gt;=0,$AE$5,IF(AD24&gt;=0,$AD$5,IF(AC24&gt;=0,$AC$5,$AB$5)))))))))</f>
        <v xml:space="preserve"> </v>
      </c>
      <c r="AL24" s="47"/>
      <c r="AM24" s="47" t="str">
        <f>IF(AK24="","",AK24)</f>
        <v xml:space="preserve"> </v>
      </c>
      <c r="AN24" s="47" t="str">
        <f>IF(E24=0," ",IF(AJ24&gt;=0,AJ24,IF(AI24&gt;=0,AI24,IF(AH24&gt;=0,AH24,IF(AG24&gt;=0,AG24,IF(AF24&gt;=0,AF24,IF(AE24&gt;=0,AE24,IF(AD24&gt;=0,AD24,IF(AC24&gt;=0,AC24,AB24)))))))))</f>
        <v xml:space="preserve"> </v>
      </c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</row>
    <row r="25" spans="2:107" x14ac:dyDescent="0.25">
      <c r="X25" s="58"/>
    </row>
  </sheetData>
  <sortState xmlns:xlrd2="http://schemas.microsoft.com/office/spreadsheetml/2017/richdata2" ref="A11:DT21">
    <sortCondition ref="K11:K21"/>
  </sortState>
  <mergeCells count="10">
    <mergeCell ref="D2:W2"/>
    <mergeCell ref="L22:O22"/>
    <mergeCell ref="T22:W22"/>
    <mergeCell ref="L23:O23"/>
    <mergeCell ref="T23:W23"/>
    <mergeCell ref="V3:W3"/>
    <mergeCell ref="P22:S22"/>
    <mergeCell ref="P23:S23"/>
    <mergeCell ref="R3:T3"/>
    <mergeCell ref="G3:Q3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66" orientation="landscape" horizontalDpi="300" verticalDpi="300" r:id="rId1"/>
  <headerFooter alignWithMargins="0"/>
  <colBreaks count="1" manualBreakCount="1">
    <brk id="27" max="73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A66"/>
  <sheetViews>
    <sheetView zoomScale="75" zoomScaleNormal="75" zoomScaleSheetLayoutView="100" workbookViewId="0">
      <selection activeCell="D8" sqref="D8"/>
    </sheetView>
  </sheetViews>
  <sheetFormatPr baseColWidth="10" defaultColWidth="11.44140625" defaultRowHeight="15.6" x14ac:dyDescent="0.25"/>
  <cols>
    <col min="1" max="1" width="1.6640625" style="1" customWidth="1"/>
    <col min="2" max="2" width="5.6640625" style="1" customWidth="1"/>
    <col min="3" max="3" width="9.6640625" style="1" customWidth="1"/>
    <col min="4" max="4" width="6.6640625" style="73" customWidth="1"/>
    <col min="5" max="5" width="6.6640625" style="1" customWidth="1"/>
    <col min="6" max="6" width="19.44140625" style="1" customWidth="1"/>
    <col min="7" max="7" width="24.33203125" style="1" customWidth="1"/>
    <col min="8" max="8" width="5.88671875" style="61" customWidth="1"/>
    <col min="9" max="9" width="34.5546875" style="66" customWidth="1"/>
    <col min="10" max="10" width="7.33203125" style="2" bestFit="1" customWidth="1"/>
    <col min="11" max="11" width="8.6640625" style="59" customWidth="1"/>
    <col min="12" max="14" width="9.33203125" style="1" customWidth="1"/>
    <col min="15" max="15" width="9.33203125" style="3" customWidth="1"/>
    <col min="16" max="18" width="9.33203125" style="1" customWidth="1"/>
    <col min="19" max="20" width="9.33203125" style="3" customWidth="1"/>
    <col min="21" max="21" width="11.6640625" style="68" hidden="1" customWidth="1"/>
    <col min="22" max="22" width="12" style="69" hidden="1" customWidth="1"/>
    <col min="23" max="23" width="11.33203125" style="1" customWidth="1"/>
    <col min="24" max="24" width="20.6640625" style="3" customWidth="1"/>
    <col min="25" max="25" width="41" style="3" customWidth="1"/>
    <col min="26" max="88" width="11.44140625" style="22"/>
    <col min="89" max="16384" width="11.44140625" style="1"/>
  </cols>
  <sheetData>
    <row r="1" spans="1:105" ht="5.0999999999999996" customHeight="1" x14ac:dyDescent="0.25"/>
    <row r="2" spans="1:105" s="7" customFormat="1" ht="30" customHeight="1" x14ac:dyDescent="0.25">
      <c r="D2" s="346" t="s">
        <v>127</v>
      </c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8"/>
      <c r="X2" s="55"/>
      <c r="Y2" s="55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</row>
    <row r="3" spans="1:105" s="7" customFormat="1" ht="30" customHeight="1" x14ac:dyDescent="0.25">
      <c r="D3" s="355" t="s">
        <v>137</v>
      </c>
      <c r="E3" s="349"/>
      <c r="F3" s="349"/>
      <c r="G3" s="349"/>
      <c r="H3" s="349"/>
      <c r="I3" s="349"/>
      <c r="J3" s="349"/>
      <c r="K3" s="349"/>
      <c r="L3" s="63"/>
      <c r="M3" s="63"/>
      <c r="N3" s="349" t="s">
        <v>128</v>
      </c>
      <c r="O3" s="349"/>
      <c r="P3" s="349"/>
      <c r="Q3" s="349"/>
      <c r="R3" s="349"/>
      <c r="S3" s="349"/>
      <c r="T3" s="63"/>
      <c r="U3" s="70"/>
      <c r="V3" s="350">
        <v>46193</v>
      </c>
      <c r="W3" s="351"/>
      <c r="X3" s="55"/>
      <c r="Y3" s="55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</row>
    <row r="4" spans="1:105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</row>
    <row r="5" spans="1:105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138</v>
      </c>
      <c r="H5" s="83" t="s">
        <v>8</v>
      </c>
      <c r="I5" s="84" t="s">
        <v>7</v>
      </c>
      <c r="J5" s="85" t="s">
        <v>4</v>
      </c>
      <c r="K5" s="85" t="s">
        <v>0</v>
      </c>
      <c r="L5" s="83">
        <v>1</v>
      </c>
      <c r="M5" s="83">
        <v>2</v>
      </c>
      <c r="N5" s="83">
        <v>3</v>
      </c>
      <c r="O5" s="85" t="s">
        <v>9</v>
      </c>
      <c r="P5" s="83">
        <v>1</v>
      </c>
      <c r="Q5" s="83">
        <v>2</v>
      </c>
      <c r="R5" s="83">
        <v>3</v>
      </c>
      <c r="S5" s="83" t="s">
        <v>10</v>
      </c>
      <c r="T5" s="83" t="s">
        <v>1</v>
      </c>
      <c r="U5" s="83" t="s">
        <v>2</v>
      </c>
      <c r="V5" s="85" t="s">
        <v>5</v>
      </c>
      <c r="W5" s="86" t="s">
        <v>3</v>
      </c>
      <c r="X5" s="64"/>
      <c r="Y5" s="64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</row>
    <row r="6" spans="1:105" s="6" customFormat="1" ht="5.0999999999999996" customHeight="1" x14ac:dyDescent="0.25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</row>
    <row r="7" spans="1:105" s="6" customFormat="1" ht="24" customHeight="1" thickBot="1" x14ac:dyDescent="0.3">
      <c r="A7" s="5"/>
      <c r="B7" s="366" t="s">
        <v>141</v>
      </c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8"/>
      <c r="T7" s="368"/>
      <c r="U7" s="368"/>
      <c r="V7" s="368"/>
      <c r="W7" s="368"/>
      <c r="X7" s="56"/>
      <c r="Y7" s="56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</row>
    <row r="8" spans="1:105" s="4" customFormat="1" ht="30" customHeight="1" thickBot="1" x14ac:dyDescent="0.3">
      <c r="B8" s="115">
        <f>'plateau 1 '!B7</f>
        <v>1</v>
      </c>
      <c r="C8" s="115">
        <f>'plateau 3'!C19</f>
        <v>0</v>
      </c>
      <c r="D8" s="115">
        <f>'plateau 3'!D19</f>
        <v>0</v>
      </c>
      <c r="E8" s="115" t="str">
        <f>'plateau 3'!E19</f>
        <v>F</v>
      </c>
      <c r="F8" s="115" t="str">
        <f>'plateau 3'!F19</f>
        <v>LAGROU</v>
      </c>
      <c r="G8" s="115" t="str">
        <f>'plateau 3'!G19</f>
        <v>Ilke</v>
      </c>
      <c r="H8" s="115">
        <f>'plateau 3'!H19</f>
        <v>1998</v>
      </c>
      <c r="I8" s="115" t="str">
        <f>'plateau 3'!I19</f>
        <v>Belgique 1</v>
      </c>
      <c r="J8" s="115" t="str">
        <f>'plateau 3'!J19</f>
        <v>BEL</v>
      </c>
      <c r="K8" s="115">
        <f>'plateau 3'!K19</f>
        <v>93.59</v>
      </c>
      <c r="L8" s="115">
        <f>'plateau 3'!L19</f>
        <v>-106</v>
      </c>
      <c r="M8" s="115">
        <f>'plateau 3'!M19</f>
        <v>106</v>
      </c>
      <c r="N8" s="115">
        <f>'plateau 3'!N19</f>
        <v>111</v>
      </c>
      <c r="O8" s="115">
        <f>'plateau 3'!O19</f>
        <v>111</v>
      </c>
      <c r="P8" s="115">
        <f>'plateau 3'!P19</f>
        <v>124</v>
      </c>
      <c r="Q8" s="115">
        <f>'plateau 3'!Q19</f>
        <v>130</v>
      </c>
      <c r="R8" s="115">
        <f>'plateau 3'!R19</f>
        <v>-136</v>
      </c>
      <c r="S8" s="316">
        <f>'plateau 3'!S19</f>
        <v>130</v>
      </c>
      <c r="T8" s="317">
        <f>'plateau 3'!T19</f>
        <v>241</v>
      </c>
      <c r="U8" s="317" t="str">
        <f>'plateau 3'!U19</f>
        <v>INTA + 13</v>
      </c>
      <c r="V8" s="317" t="str">
        <f>'plateau 3'!V19</f>
        <v>SE F&gt;87</v>
      </c>
      <c r="W8" s="318">
        <f>'plateau 3'!W19</f>
        <v>262.1811704940697</v>
      </c>
      <c r="X8" s="82"/>
      <c r="Y8" s="80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</row>
    <row r="9" spans="1:105" s="4" customFormat="1" ht="30" customHeight="1" thickBot="1" x14ac:dyDescent="0.3">
      <c r="B9" s="115">
        <f>'plateau 1 '!B8</f>
        <v>2</v>
      </c>
      <c r="C9" s="115">
        <f>'plateau 3'!C14</f>
        <v>0</v>
      </c>
      <c r="D9" s="115">
        <f>'plateau 3'!D14</f>
        <v>0</v>
      </c>
      <c r="E9" s="115" t="str">
        <f>'plateau 3'!E14</f>
        <v>F</v>
      </c>
      <c r="F9" s="115" t="str">
        <f>'plateau 3'!F14</f>
        <v>VANDENABEELE</v>
      </c>
      <c r="G9" s="115" t="str">
        <f>'plateau 3'!G14</f>
        <v>Annelien</v>
      </c>
      <c r="H9" s="115">
        <f>'plateau 3'!H14</f>
        <v>2004</v>
      </c>
      <c r="I9" s="115" t="str">
        <f>'plateau 3'!I14</f>
        <v>Belgique 1</v>
      </c>
      <c r="J9" s="115" t="str">
        <f>'plateau 3'!J14</f>
        <v>BEL</v>
      </c>
      <c r="K9" s="115">
        <f>'plateau 3'!K14</f>
        <v>60.69</v>
      </c>
      <c r="L9" s="115">
        <f>'plateau 3'!L14</f>
        <v>81</v>
      </c>
      <c r="M9" s="115">
        <f>'plateau 3'!M14</f>
        <v>84</v>
      </c>
      <c r="N9" s="115">
        <f>'plateau 3'!N14</f>
        <v>-86</v>
      </c>
      <c r="O9" s="115">
        <f>'plateau 3'!O14</f>
        <v>84</v>
      </c>
      <c r="P9" s="115">
        <f>'plateau 3'!P14</f>
        <v>100</v>
      </c>
      <c r="Q9" s="115">
        <f>'plateau 3'!Q14</f>
        <v>104</v>
      </c>
      <c r="R9" s="115">
        <f>'plateau 3'!R14</f>
        <v>-109</v>
      </c>
      <c r="S9" s="319">
        <f>'plateau 3'!S14</f>
        <v>104</v>
      </c>
      <c r="T9" s="188">
        <f>'plateau 3'!T14</f>
        <v>188</v>
      </c>
      <c r="U9" s="188" t="str">
        <f>'plateau 3'!U14</f>
        <v>INTA + 3</v>
      </c>
      <c r="V9" s="188" t="str">
        <f>'plateau 3'!V14</f>
        <v>U20 F64</v>
      </c>
      <c r="W9" s="320">
        <f>'plateau 3'!W14</f>
        <v>252.59813268144222</v>
      </c>
      <c r="X9" s="82"/>
      <c r="Y9" s="80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</row>
    <row r="10" spans="1:105" s="4" customFormat="1" ht="30" customHeight="1" thickBot="1" x14ac:dyDescent="0.3">
      <c r="B10" s="115">
        <f>'plateau 1 '!B9</f>
        <v>3</v>
      </c>
      <c r="C10" s="115">
        <f>'plateau 3'!C17</f>
        <v>0</v>
      </c>
      <c r="D10" s="115">
        <f>'plateau 3'!D17</f>
        <v>0</v>
      </c>
      <c r="E10" s="115" t="str">
        <f>'plateau 3'!E17</f>
        <v>F</v>
      </c>
      <c r="F10" s="115" t="str">
        <f>'plateau 3'!F17</f>
        <v>TIMMERSMANS</v>
      </c>
      <c r="G10" s="115" t="str">
        <f>'plateau 3'!G17</f>
        <v>Myrthe</v>
      </c>
      <c r="H10" s="115">
        <f>'plateau 3'!H17</f>
        <v>1997</v>
      </c>
      <c r="I10" s="115" t="str">
        <f>'plateau 3'!I17</f>
        <v>Waalsport Hollande</v>
      </c>
      <c r="J10" s="115" t="str">
        <f>'plateau 3'!J17</f>
        <v>HOL</v>
      </c>
      <c r="K10" s="115">
        <f>'plateau 3'!K17</f>
        <v>67.680000000000007</v>
      </c>
      <c r="L10" s="115">
        <f>'plateau 3'!L17</f>
        <v>82</v>
      </c>
      <c r="M10" s="115">
        <f>'plateau 3'!M17</f>
        <v>85</v>
      </c>
      <c r="N10" s="115">
        <f>'plateau 3'!N17</f>
        <v>88</v>
      </c>
      <c r="O10" s="115">
        <f>'plateau 3'!O17</f>
        <v>88</v>
      </c>
      <c r="P10" s="115">
        <f>'plateau 3'!P17</f>
        <v>100</v>
      </c>
      <c r="Q10" s="115">
        <f>'plateau 3'!Q17</f>
        <v>105</v>
      </c>
      <c r="R10" s="115">
        <f>'plateau 3'!R17</f>
        <v>110</v>
      </c>
      <c r="S10" s="319">
        <f>'plateau 3'!S17</f>
        <v>110</v>
      </c>
      <c r="T10" s="188">
        <f>'plateau 3'!T17</f>
        <v>198</v>
      </c>
      <c r="U10" s="188" t="str">
        <f>'plateau 3'!U17</f>
        <v>INTB + 6</v>
      </c>
      <c r="V10" s="188" t="str">
        <f>'plateau 3'!V17</f>
        <v>SE F71</v>
      </c>
      <c r="W10" s="320">
        <f>'plateau 3'!W17</f>
        <v>249.23955030194011</v>
      </c>
      <c r="X10" s="82"/>
      <c r="Y10" s="80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</row>
    <row r="11" spans="1:105" s="4" customFormat="1" ht="30" customHeight="1" thickBot="1" x14ac:dyDescent="0.3">
      <c r="B11" s="115">
        <f>'plateau 1 '!B10</f>
        <v>4</v>
      </c>
      <c r="C11" s="115">
        <f>'plateau 3'!C11</f>
        <v>0</v>
      </c>
      <c r="D11" s="115">
        <f>'plateau 3'!D11</f>
        <v>0</v>
      </c>
      <c r="E11" s="115" t="str">
        <f>'plateau 3'!E11</f>
        <v>f</v>
      </c>
      <c r="F11" s="115" t="str">
        <f>'plateau 3'!F11</f>
        <v>ROUSSELLE</v>
      </c>
      <c r="G11" s="115" t="str">
        <f>'plateau 3'!G11</f>
        <v>Julie</v>
      </c>
      <c r="H11" s="115">
        <f>'plateau 3'!H11</f>
        <v>2006</v>
      </c>
      <c r="I11" s="115" t="str">
        <f>'plateau 3'!I11</f>
        <v>Sélection France</v>
      </c>
      <c r="J11" s="115" t="str">
        <f>'plateau 3'!J11</f>
        <v>FR</v>
      </c>
      <c r="K11" s="115">
        <f>'plateau 3'!K11</f>
        <v>56.6</v>
      </c>
      <c r="L11" s="115">
        <f>'plateau 3'!L11</f>
        <v>74</v>
      </c>
      <c r="M11" s="115">
        <f>'plateau 3'!M11</f>
        <v>-77</v>
      </c>
      <c r="N11" s="115">
        <f>'plateau 3'!N11</f>
        <v>-77</v>
      </c>
      <c r="O11" s="115">
        <f>'plateau 3'!O11</f>
        <v>74</v>
      </c>
      <c r="P11" s="115">
        <f>'plateau 3'!P11</f>
        <v>91</v>
      </c>
      <c r="Q11" s="115">
        <f>'plateau 3'!Q11</f>
        <v>-95</v>
      </c>
      <c r="R11" s="115">
        <f>'plateau 3'!R11</f>
        <v>-95</v>
      </c>
      <c r="S11" s="319">
        <f>'plateau 3'!S11</f>
        <v>91</v>
      </c>
      <c r="T11" s="188">
        <f>'plateau 3'!T11</f>
        <v>165</v>
      </c>
      <c r="U11" s="188" t="str">
        <f>'plateau 3'!U11</f>
        <v>INTA + 15</v>
      </c>
      <c r="V11" s="188" t="str">
        <f>'plateau 3'!V11</f>
        <v>U17 F59</v>
      </c>
      <c r="W11" s="320">
        <f>'plateau 3'!W11</f>
        <v>232.13121701863881</v>
      </c>
      <c r="X11" s="82"/>
      <c r="Y11" s="80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</row>
    <row r="12" spans="1:105" s="4" customFormat="1" ht="30" customHeight="1" thickBot="1" x14ac:dyDescent="0.3">
      <c r="B12" s="115">
        <f>'plateau 1 '!B11</f>
        <v>5</v>
      </c>
      <c r="C12" s="115">
        <f>'plateau 3'!C18</f>
        <v>0</v>
      </c>
      <c r="D12" s="115">
        <f>'plateau 3'!D18</f>
        <v>0</v>
      </c>
      <c r="E12" s="115" t="str">
        <f>'plateau 3'!E18</f>
        <v>F</v>
      </c>
      <c r="F12" s="115" t="str">
        <f>'plateau 3'!F18</f>
        <v>DE KONING</v>
      </c>
      <c r="G12" s="115" t="str">
        <f>'plateau 3'!G18</f>
        <v>Joyce</v>
      </c>
      <c r="H12" s="115">
        <f>'plateau 3'!H18</f>
        <v>1997</v>
      </c>
      <c r="I12" s="115" t="str">
        <f>'plateau 3'!I18</f>
        <v>Waalsport Hollande</v>
      </c>
      <c r="J12" s="115" t="str">
        <f>'plateau 3'!J18</f>
        <v>HOL</v>
      </c>
      <c r="K12" s="115">
        <f>'plateau 3'!K18</f>
        <v>85.75</v>
      </c>
      <c r="L12" s="115">
        <f>'plateau 3'!L18</f>
        <v>-95</v>
      </c>
      <c r="M12" s="115">
        <f>'plateau 3'!M18</f>
        <v>95</v>
      </c>
      <c r="N12" s="115">
        <f>'plateau 3'!N18</f>
        <v>99</v>
      </c>
      <c r="O12" s="115">
        <f>'plateau 3'!O18</f>
        <v>99</v>
      </c>
      <c r="P12" s="115">
        <f>'plateau 3'!P18</f>
        <v>107</v>
      </c>
      <c r="Q12" s="115">
        <f>'plateau 3'!Q18</f>
        <v>-110</v>
      </c>
      <c r="R12" s="115">
        <f>'plateau 3'!R18</f>
        <v>-110</v>
      </c>
      <c r="S12" s="319">
        <f>'plateau 3'!S18</f>
        <v>107</v>
      </c>
      <c r="T12" s="188">
        <f>'plateau 3'!T18</f>
        <v>206</v>
      </c>
      <c r="U12" s="188" t="str">
        <f>'plateau 3'!U18</f>
        <v>INTB + 4</v>
      </c>
      <c r="V12" s="188" t="str">
        <f>'plateau 3'!V18</f>
        <v>SE F87</v>
      </c>
      <c r="W12" s="320">
        <f>'plateau 3'!W18</f>
        <v>231.46328136214208</v>
      </c>
      <c r="X12" s="82"/>
      <c r="Y12" s="80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</row>
    <row r="13" spans="1:105" s="4" customFormat="1" ht="30" customHeight="1" thickBot="1" x14ac:dyDescent="0.3">
      <c r="B13" s="115">
        <f>'plateau 1 '!B12</f>
        <v>6</v>
      </c>
      <c r="C13" s="115">
        <f>'plateau 3'!C16</f>
        <v>0</v>
      </c>
      <c r="D13" s="115">
        <f>'plateau 3'!D16</f>
        <v>0</v>
      </c>
      <c r="E13" s="115" t="str">
        <f>'plateau 3'!E16</f>
        <v>F</v>
      </c>
      <c r="F13" s="115" t="str">
        <f>'plateau 3'!F16</f>
        <v>VAN BEERS</v>
      </c>
      <c r="G13" s="115" t="str">
        <f>'plateau 3'!G16</f>
        <v>Roos</v>
      </c>
      <c r="H13" s="115">
        <f>'plateau 3'!H16</f>
        <v>2007</v>
      </c>
      <c r="I13" s="115" t="str">
        <f>'plateau 3'!I16</f>
        <v xml:space="preserve">Belgique 2 </v>
      </c>
      <c r="J13" s="115" t="str">
        <f>'plateau 3'!J16</f>
        <v>BEL</v>
      </c>
      <c r="K13" s="115">
        <f>'plateau 3'!K16</f>
        <v>73.75</v>
      </c>
      <c r="L13" s="115">
        <f>'plateau 3'!L16</f>
        <v>89</v>
      </c>
      <c r="M13" s="115">
        <f>'plateau 3'!M16</f>
        <v>-92</v>
      </c>
      <c r="N13" s="115">
        <f>'plateau 3'!N16</f>
        <v>92</v>
      </c>
      <c r="O13" s="115">
        <f>'plateau 3'!O16</f>
        <v>92</v>
      </c>
      <c r="P13" s="115">
        <f>'plateau 3'!P16</f>
        <v>100</v>
      </c>
      <c r="Q13" s="115">
        <f>'plateau 3'!Q16</f>
        <v>-104</v>
      </c>
      <c r="R13" s="115">
        <f>'plateau 3'!R16</f>
        <v>-104</v>
      </c>
      <c r="S13" s="319">
        <f>'plateau 3'!S16</f>
        <v>100</v>
      </c>
      <c r="T13" s="188">
        <f>'plateau 3'!T16</f>
        <v>192</v>
      </c>
      <c r="U13" s="188" t="str">
        <f>'plateau 3'!U16</f>
        <v>INTA + 22</v>
      </c>
      <c r="V13" s="188" t="str">
        <f>'plateau 3'!V16</f>
        <v>U17 F76</v>
      </c>
      <c r="W13" s="320">
        <f>'plateau 3'!W16</f>
        <v>230.90012676677691</v>
      </c>
      <c r="X13" s="82"/>
      <c r="Y13" s="80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</row>
    <row r="14" spans="1:105" s="4" customFormat="1" ht="30" customHeight="1" thickBot="1" x14ac:dyDescent="0.3">
      <c r="B14" s="115">
        <f>'plateau 1 '!B13</f>
        <v>7</v>
      </c>
      <c r="C14" s="115">
        <f>'plateau 3'!C7</f>
        <v>0</v>
      </c>
      <c r="D14" s="115">
        <f>'plateau 3'!D7</f>
        <v>0</v>
      </c>
      <c r="E14" s="115" t="str">
        <f>'plateau 3'!E7</f>
        <v>F</v>
      </c>
      <c r="F14" s="115" t="str">
        <f>'plateau 3'!F7</f>
        <v>ESTEOULLE</v>
      </c>
      <c r="G14" s="115" t="str">
        <f>'plateau 3'!G7</f>
        <v>Chloé</v>
      </c>
      <c r="H14" s="115">
        <f>'plateau 3'!H7</f>
        <v>2001</v>
      </c>
      <c r="I14" s="115" t="str">
        <f>'plateau 3'!I7</f>
        <v>Comines</v>
      </c>
      <c r="J14" s="115" t="str">
        <f>'plateau 3'!J7</f>
        <v>FR</v>
      </c>
      <c r="K14" s="115">
        <f>'plateau 3'!K7</f>
        <v>52.58</v>
      </c>
      <c r="L14" s="115">
        <f>'plateau 3'!L7</f>
        <v>67</v>
      </c>
      <c r="M14" s="115">
        <f>'plateau 3'!M7</f>
        <v>70</v>
      </c>
      <c r="N14" s="115">
        <f>'plateau 3'!N7</f>
        <v>-73</v>
      </c>
      <c r="O14" s="115">
        <f>'plateau 3'!O7</f>
        <v>70</v>
      </c>
      <c r="P14" s="115">
        <f>'plateau 3'!P7</f>
        <v>82</v>
      </c>
      <c r="Q14" s="115">
        <f>'plateau 3'!Q7</f>
        <v>85</v>
      </c>
      <c r="R14" s="115">
        <f>'plateau 3'!R7</f>
        <v>-88</v>
      </c>
      <c r="S14" s="319">
        <f>'plateau 3'!S7</f>
        <v>85</v>
      </c>
      <c r="T14" s="188">
        <f>'plateau 3'!T7</f>
        <v>155</v>
      </c>
      <c r="U14" s="188" t="e">
        <f>'plateau 3'!U7</f>
        <v>#N/A</v>
      </c>
      <c r="V14" s="188" t="str">
        <f>'plateau 3'!V7</f>
        <v>SE F53</v>
      </c>
      <c r="W14" s="320">
        <f>'plateau 3'!W7</f>
        <v>229.74438866807503</v>
      </c>
      <c r="X14" s="82"/>
      <c r="Y14" s="80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</row>
    <row r="15" spans="1:105" s="4" customFormat="1" ht="30" customHeight="1" thickBot="1" x14ac:dyDescent="0.3">
      <c r="B15" s="115">
        <f>'plateau 1 '!B14</f>
        <v>8</v>
      </c>
      <c r="C15" s="115">
        <f>'plateau 3'!C10</f>
        <v>0</v>
      </c>
      <c r="D15" s="115">
        <f>'plateau 3'!D10</f>
        <v>0</v>
      </c>
      <c r="E15" s="115" t="str">
        <f>'plateau 3'!E10</f>
        <v>F</v>
      </c>
      <c r="F15" s="115" t="str">
        <f>'plateau 3'!F10</f>
        <v>BOCQUET</v>
      </c>
      <c r="G15" s="115" t="str">
        <f>'plateau 3'!G10</f>
        <v>Ambre</v>
      </c>
      <c r="H15" s="115">
        <f>'plateau 3'!H10</f>
        <v>1994</v>
      </c>
      <c r="I15" s="115" t="str">
        <f>'plateau 3'!I10</f>
        <v>Nord</v>
      </c>
      <c r="J15" s="115" t="str">
        <f>'plateau 3'!J10</f>
        <v>FR</v>
      </c>
      <c r="K15" s="115">
        <f>'plateau 3'!K10</f>
        <v>58.05</v>
      </c>
      <c r="L15" s="115">
        <f>'plateau 3'!L10</f>
        <v>68</v>
      </c>
      <c r="M15" s="115">
        <f>'plateau 3'!M10</f>
        <v>71</v>
      </c>
      <c r="N15" s="115">
        <f>'plateau 3'!N10</f>
        <v>73</v>
      </c>
      <c r="O15" s="115">
        <f>'plateau 3'!O10</f>
        <v>73</v>
      </c>
      <c r="P15" s="115">
        <f>'plateau 3'!P10</f>
        <v>-90</v>
      </c>
      <c r="Q15" s="115">
        <f>'plateau 3'!Q10</f>
        <v>90</v>
      </c>
      <c r="R15" s="115">
        <f>'plateau 3'!R10</f>
        <v>-95</v>
      </c>
      <c r="S15" s="319">
        <f>'plateau 3'!S10</f>
        <v>90</v>
      </c>
      <c r="T15" s="188">
        <f>'plateau 3'!T10</f>
        <v>163</v>
      </c>
      <c r="U15" s="188" t="str">
        <f>'plateau 3'!U10</f>
        <v>NAT + 8</v>
      </c>
      <c r="V15" s="188" t="str">
        <f>'plateau 3'!V10</f>
        <v>SE F59</v>
      </c>
      <c r="W15" s="320">
        <f>'plateau 3'!W10</f>
        <v>225.43807046289649</v>
      </c>
      <c r="X15" s="82"/>
      <c r="Y15" s="80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</row>
    <row r="16" spans="1:105" s="4" customFormat="1" ht="30" customHeight="1" thickBot="1" x14ac:dyDescent="0.3">
      <c r="B16" s="115">
        <f>'plateau 1 '!B15</f>
        <v>9</v>
      </c>
      <c r="C16" s="115">
        <f>'plateau 3'!C9</f>
        <v>0</v>
      </c>
      <c r="D16" s="115">
        <f>'plateau 3'!D9</f>
        <v>0</v>
      </c>
      <c r="E16" s="115" t="str">
        <f>'plateau 3'!E9</f>
        <v>F</v>
      </c>
      <c r="F16" s="115" t="str">
        <f>'plateau 3'!F9</f>
        <v>COFFEY-O'CONNOR</v>
      </c>
      <c r="G16" s="115" t="str">
        <f>'plateau 3'!G9</f>
        <v>Molly</v>
      </c>
      <c r="H16" s="115">
        <f>'plateau 3'!H9</f>
        <v>2005</v>
      </c>
      <c r="I16" s="115" t="str">
        <f>'plateau 3'!I9</f>
        <v>Irlande</v>
      </c>
      <c r="J16" s="115" t="str">
        <f>'plateau 3'!J9</f>
        <v>IRL</v>
      </c>
      <c r="K16" s="115">
        <f>'plateau 3'!K9</f>
        <v>65.05</v>
      </c>
      <c r="L16" s="115">
        <f>'plateau 3'!L9</f>
        <v>72</v>
      </c>
      <c r="M16" s="115">
        <f>'plateau 3'!M9</f>
        <v>75</v>
      </c>
      <c r="N16" s="115">
        <f>'plateau 3'!N9</f>
        <v>77</v>
      </c>
      <c r="O16" s="115">
        <f>'plateau 3'!O9</f>
        <v>77</v>
      </c>
      <c r="P16" s="115">
        <f>'plateau 3'!P9</f>
        <v>90</v>
      </c>
      <c r="Q16" s="115">
        <f>'plateau 3'!Q9</f>
        <v>95</v>
      </c>
      <c r="R16" s="115">
        <f>'plateau 3'!R9</f>
        <v>98</v>
      </c>
      <c r="S16" s="319">
        <f>'plateau 3'!S9</f>
        <v>98</v>
      </c>
      <c r="T16" s="188">
        <f>'plateau 3'!T9</f>
        <v>175</v>
      </c>
      <c r="U16" s="188" t="str">
        <f>'plateau 3'!U9</f>
        <v>INTB + 8</v>
      </c>
      <c r="V16" s="188" t="str">
        <f>'plateau 3'!V9</f>
        <v>U20 F71</v>
      </c>
      <c r="W16" s="320">
        <f>'plateau 3'!W9</f>
        <v>225.36082714558728</v>
      </c>
      <c r="X16" s="82"/>
      <c r="Y16" s="80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</row>
    <row r="17" spans="2:88" s="4" customFormat="1" ht="30" customHeight="1" thickBot="1" x14ac:dyDescent="0.3">
      <c r="B17" s="115">
        <f>'plateau 1 '!B16</f>
        <v>10</v>
      </c>
      <c r="C17" s="115">
        <f>'plateau 3'!C13</f>
        <v>0</v>
      </c>
      <c r="D17" s="115">
        <f>'plateau 3'!D13</f>
        <v>0</v>
      </c>
      <c r="E17" s="115" t="str">
        <f>'plateau 3'!E13</f>
        <v>F</v>
      </c>
      <c r="F17" s="115" t="str">
        <f>'plateau 3'!F13</f>
        <v>CORGIAT BONDON</v>
      </c>
      <c r="G17" s="115" t="str">
        <f>'plateau 3'!G13</f>
        <v>Maelys</v>
      </c>
      <c r="H17" s="115">
        <f>'plateau 3'!H13</f>
        <v>2008</v>
      </c>
      <c r="I17" s="115" t="str">
        <f>'plateau 3'!I13</f>
        <v>Sélection France</v>
      </c>
      <c r="J17" s="115" t="str">
        <f>'plateau 3'!J13</f>
        <v>FR</v>
      </c>
      <c r="K17" s="115">
        <f>'plateau 3'!K13</f>
        <v>56.93</v>
      </c>
      <c r="L17" s="115">
        <f>'plateau 3'!L13</f>
        <v>65</v>
      </c>
      <c r="M17" s="115">
        <f>'plateau 3'!M13</f>
        <v>67</v>
      </c>
      <c r="N17" s="115">
        <f>'plateau 3'!N13</f>
        <v>69</v>
      </c>
      <c r="O17" s="115">
        <f>'plateau 3'!O13</f>
        <v>69</v>
      </c>
      <c r="P17" s="115">
        <f>'plateau 3'!P13</f>
        <v>81</v>
      </c>
      <c r="Q17" s="115">
        <f>'plateau 3'!Q13</f>
        <v>84</v>
      </c>
      <c r="R17" s="115">
        <f>'plateau 3'!R13</f>
        <v>88</v>
      </c>
      <c r="S17" s="319">
        <f>'plateau 3'!S13</f>
        <v>88</v>
      </c>
      <c r="T17" s="188">
        <f>'plateau 3'!T13</f>
        <v>157</v>
      </c>
      <c r="U17" s="188" t="str">
        <f>'plateau 3'!U13</f>
        <v>INTA + 17</v>
      </c>
      <c r="V17" s="188" t="str">
        <f>'plateau 3'!V13</f>
        <v>U15 F59</v>
      </c>
      <c r="W17" s="320">
        <f>'plateau 3'!W13</f>
        <v>220.00345004132606</v>
      </c>
      <c r="X17" s="82"/>
      <c r="Y17" s="80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</row>
    <row r="18" spans="2:88" s="4" customFormat="1" ht="30" customHeight="1" thickBot="1" x14ac:dyDescent="0.3">
      <c r="B18" s="115">
        <f>'plateau 1 '!B17</f>
        <v>11</v>
      </c>
      <c r="C18" s="115">
        <f>'plateau 1 '!C13</f>
        <v>0</v>
      </c>
      <c r="D18" s="115">
        <f>'plateau 1 '!D13</f>
        <v>0</v>
      </c>
      <c r="E18" s="115" t="str">
        <f>'plateau 1 '!E13</f>
        <v>F</v>
      </c>
      <c r="F18" s="115" t="str">
        <f>'plateau 1 '!F13</f>
        <v>PHAM</v>
      </c>
      <c r="G18" s="115" t="str">
        <f>'plateau 1 '!G13</f>
        <v>Lee na</v>
      </c>
      <c r="H18" s="115">
        <f>'plateau 1 '!H13</f>
        <v>2006</v>
      </c>
      <c r="I18" s="115" t="str">
        <f>'plateau 1 '!I13</f>
        <v>Pas de Calais</v>
      </c>
      <c r="J18" s="115" t="str">
        <f>'plateau 1 '!J13</f>
        <v>FR</v>
      </c>
      <c r="K18" s="115">
        <f>'plateau 1 '!K13</f>
        <v>54.5</v>
      </c>
      <c r="L18" s="115">
        <f>'plateau 1 '!L13</f>
        <v>63</v>
      </c>
      <c r="M18" s="115">
        <f>'plateau 1 '!M13</f>
        <v>67</v>
      </c>
      <c r="N18" s="115">
        <f>'plateau 1 '!N13</f>
        <v>-70</v>
      </c>
      <c r="O18" s="115">
        <f>'plateau 1 '!O13</f>
        <v>67</v>
      </c>
      <c r="P18" s="115">
        <f>'plateau 1 '!P13</f>
        <v>81</v>
      </c>
      <c r="Q18" s="115">
        <f>'plateau 1 '!Q13</f>
        <v>85</v>
      </c>
      <c r="R18" s="115">
        <f>'plateau 1 '!R13</f>
        <v>-88</v>
      </c>
      <c r="S18" s="319">
        <f>'plateau 1 '!S13</f>
        <v>85</v>
      </c>
      <c r="T18" s="188">
        <f>'plateau 1 '!T13</f>
        <v>152</v>
      </c>
      <c r="U18" s="188" t="e">
        <f>'plateau 1 '!U13</f>
        <v>#N/A</v>
      </c>
      <c r="V18" s="188" t="str">
        <f>'plateau 1 '!V13</f>
        <v>U17 F53</v>
      </c>
      <c r="W18" s="320">
        <f>'plateau 1 '!W13</f>
        <v>219.54453694559535</v>
      </c>
      <c r="X18" s="82"/>
      <c r="Y18" s="80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</row>
    <row r="19" spans="2:88" s="4" customFormat="1" ht="30" customHeight="1" thickBot="1" x14ac:dyDescent="0.3">
      <c r="B19" s="115">
        <f>'plateau 3'!B7</f>
        <v>12</v>
      </c>
      <c r="C19" s="115">
        <f>'plateau 1 '!C12</f>
        <v>0</v>
      </c>
      <c r="D19" s="115">
        <f>'plateau 1 '!D12</f>
        <v>0</v>
      </c>
      <c r="E19" s="115" t="str">
        <f>'plateau 1 '!E12</f>
        <v>F</v>
      </c>
      <c r="F19" s="115" t="str">
        <f>'plateau 1 '!F12</f>
        <v>BIZEAU</v>
      </c>
      <c r="G19" s="115" t="str">
        <f>'plateau 1 '!G12</f>
        <v>Alexine</v>
      </c>
      <c r="H19" s="115">
        <f>'plateau 1 '!H12</f>
        <v>2007</v>
      </c>
      <c r="I19" s="115" t="str">
        <f>'plateau 1 '!I12</f>
        <v>Cle Amiens</v>
      </c>
      <c r="J19" s="115" t="str">
        <f>'plateau 1 '!J12</f>
        <v>FR</v>
      </c>
      <c r="K19" s="115">
        <f>'plateau 1 '!K12</f>
        <v>48.4</v>
      </c>
      <c r="L19" s="115">
        <f>'plateau 1 '!L12</f>
        <v>60</v>
      </c>
      <c r="M19" s="115">
        <f>'plateau 1 '!M12</f>
        <v>63</v>
      </c>
      <c r="N19" s="115">
        <f>'plateau 1 '!N12</f>
        <v>-66</v>
      </c>
      <c r="O19" s="115">
        <f>'plateau 1 '!O12</f>
        <v>63</v>
      </c>
      <c r="P19" s="115">
        <f>'plateau 1 '!P12</f>
        <v>-76</v>
      </c>
      <c r="Q19" s="115">
        <f>'plateau 1 '!Q12</f>
        <v>76</v>
      </c>
      <c r="R19" s="115">
        <f>'plateau 1 '!R12</f>
        <v>-79</v>
      </c>
      <c r="S19" s="319">
        <f>'plateau 1 '!S12</f>
        <v>76</v>
      </c>
      <c r="T19" s="188">
        <f>'plateau 1 '!T12</f>
        <v>139</v>
      </c>
      <c r="U19" s="188" t="e">
        <f>'plateau 1 '!U12</f>
        <v>#N/A</v>
      </c>
      <c r="V19" s="188" t="str">
        <f>'plateau 1 '!V12</f>
        <v>U17 F53</v>
      </c>
      <c r="W19" s="320">
        <f>'plateau 1 '!W12</f>
        <v>219.44958982175677</v>
      </c>
      <c r="X19" s="82"/>
      <c r="Y19" s="80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</row>
    <row r="20" spans="2:88" s="4" customFormat="1" ht="30" customHeight="1" thickBot="1" x14ac:dyDescent="0.3">
      <c r="B20" s="115">
        <f>'plateau 3'!B8</f>
        <v>13</v>
      </c>
      <c r="C20" s="115">
        <f>'plateau 1 '!C15</f>
        <v>0</v>
      </c>
      <c r="D20" s="115">
        <f>'plateau 1 '!D15</f>
        <v>0</v>
      </c>
      <c r="E20" s="115" t="str">
        <f>'plateau 1 '!E15</f>
        <v>F</v>
      </c>
      <c r="F20" s="115" t="str">
        <f>'plateau 1 '!F15</f>
        <v>SAINT MAXENT</v>
      </c>
      <c r="G20" s="115" t="str">
        <f>'plateau 1 '!G15</f>
        <v>Manon</v>
      </c>
      <c r="H20" s="115">
        <f>'plateau 1 '!H15</f>
        <v>1994</v>
      </c>
      <c r="I20" s="115" t="str">
        <f>'plateau 1 '!I15</f>
        <v>Comines</v>
      </c>
      <c r="J20" s="115" t="str">
        <f>'plateau 1 '!J15</f>
        <v>FR</v>
      </c>
      <c r="K20" s="115">
        <f>'plateau 1 '!K15</f>
        <v>52.65</v>
      </c>
      <c r="L20" s="115">
        <f>'plateau 1 '!L15</f>
        <v>60</v>
      </c>
      <c r="M20" s="115">
        <f>'plateau 1 '!M15</f>
        <v>65</v>
      </c>
      <c r="N20" s="115">
        <f>'plateau 1 '!N15</f>
        <v>-68</v>
      </c>
      <c r="O20" s="115">
        <f>'plateau 1 '!O15</f>
        <v>65</v>
      </c>
      <c r="P20" s="115">
        <f>'plateau 1 '!P15</f>
        <v>75</v>
      </c>
      <c r="Q20" s="115">
        <f>'plateau 1 '!Q15</f>
        <v>78</v>
      </c>
      <c r="R20" s="115">
        <f>'plateau 1 '!R15</f>
        <v>81</v>
      </c>
      <c r="S20" s="319">
        <f>'plateau 1 '!S15</f>
        <v>81</v>
      </c>
      <c r="T20" s="188">
        <f>'plateau 1 '!T15</f>
        <v>146</v>
      </c>
      <c r="U20" s="188" t="e">
        <f>'plateau 1 '!U15</f>
        <v>#N/A</v>
      </c>
      <c r="V20" s="188" t="str">
        <f>'plateau 1 '!V15</f>
        <v>SE F53</v>
      </c>
      <c r="W20" s="320">
        <f>'plateau 1 '!W15</f>
        <v>216.19344172475877</v>
      </c>
      <c r="X20" s="82"/>
      <c r="Y20" s="80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</row>
    <row r="21" spans="2:88" s="4" customFormat="1" ht="30" customHeight="1" thickBot="1" x14ac:dyDescent="0.3">
      <c r="B21" s="115">
        <f>'plateau 3'!B9</f>
        <v>14</v>
      </c>
      <c r="C21" s="115">
        <f>'plateau 3'!C12</f>
        <v>0</v>
      </c>
      <c r="D21" s="115">
        <f>'plateau 3'!D12</f>
        <v>0</v>
      </c>
      <c r="E21" s="115" t="str">
        <f>'plateau 3'!E12</f>
        <v>f</v>
      </c>
      <c r="F21" s="115" t="str">
        <f>'plateau 3'!F12</f>
        <v>MEENAN</v>
      </c>
      <c r="G21" s="115" t="str">
        <f>'plateau 3'!G12</f>
        <v>Abby</v>
      </c>
      <c r="H21" s="115">
        <f>'plateau 3'!H12</f>
        <v>2002</v>
      </c>
      <c r="I21" s="115" t="str">
        <f>'plateau 3'!I12</f>
        <v>Irlande</v>
      </c>
      <c r="J21" s="115" t="str">
        <f>'plateau 3'!J12</f>
        <v>IRL</v>
      </c>
      <c r="K21" s="115">
        <f>'plateau 3'!K12</f>
        <v>76.23</v>
      </c>
      <c r="L21" s="115">
        <f>'plateau 3'!L12</f>
        <v>-76</v>
      </c>
      <c r="M21" s="115">
        <f>'plateau 3'!M12</f>
        <v>-76</v>
      </c>
      <c r="N21" s="115">
        <f>'plateau 3'!N12</f>
        <v>76</v>
      </c>
      <c r="O21" s="115">
        <f>'plateau 3'!O12</f>
        <v>76</v>
      </c>
      <c r="P21" s="115">
        <f>'plateau 3'!P12</f>
        <v>100</v>
      </c>
      <c r="Q21" s="115">
        <f>'plateau 3'!Q12</f>
        <v>104</v>
      </c>
      <c r="R21" s="115">
        <f>'plateau 3'!R12</f>
        <v>-108</v>
      </c>
      <c r="S21" s="319">
        <f>'plateau 3'!S12</f>
        <v>104</v>
      </c>
      <c r="T21" s="188">
        <f>'plateau 3'!T12</f>
        <v>180</v>
      </c>
      <c r="U21" s="188" t="str">
        <f>'plateau 3'!U12</f>
        <v>NAT + 0</v>
      </c>
      <c r="V21" s="188" t="str">
        <f>'plateau 3'!V12</f>
        <v>SE F81</v>
      </c>
      <c r="W21" s="320">
        <f>'plateau 3'!W12</f>
        <v>212.98250877271587</v>
      </c>
      <c r="X21" s="82"/>
      <c r="Y21" s="80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</row>
    <row r="22" spans="2:88" s="4" customFormat="1" ht="30" customHeight="1" thickBot="1" x14ac:dyDescent="0.3">
      <c r="B22" s="115">
        <f>'plateau 3'!B10</f>
        <v>15</v>
      </c>
      <c r="C22" s="115">
        <f>'plateau 1 '!C16</f>
        <v>0</v>
      </c>
      <c r="D22" s="115">
        <f>'plateau 1 '!D16</f>
        <v>0</v>
      </c>
      <c r="E22" s="115" t="str">
        <f>'plateau 1 '!E16</f>
        <v>F</v>
      </c>
      <c r="F22" s="115" t="str">
        <f>'plateau 1 '!F16</f>
        <v>BOKALO</v>
      </c>
      <c r="G22" s="115" t="str">
        <f>'plateau 1 '!G16</f>
        <v>Antonina</v>
      </c>
      <c r="H22" s="115">
        <f>'plateau 1 '!H16</f>
        <v>2008</v>
      </c>
      <c r="I22" s="115" t="str">
        <f>'plateau 1 '!I16</f>
        <v>Ukraine</v>
      </c>
      <c r="J22" s="115" t="str">
        <f>'plateau 1 '!J16</f>
        <v>UKR</v>
      </c>
      <c r="K22" s="115">
        <f>'plateau 1 '!K16</f>
        <v>61.65</v>
      </c>
      <c r="L22" s="115">
        <f>'plateau 1 '!L16</f>
        <v>67</v>
      </c>
      <c r="M22" s="115">
        <f>'plateau 1 '!M16</f>
        <v>-71</v>
      </c>
      <c r="N22" s="115">
        <f>'plateau 1 '!N16</f>
        <v>71</v>
      </c>
      <c r="O22" s="115">
        <f>'plateau 1 '!O16</f>
        <v>71</v>
      </c>
      <c r="P22" s="115">
        <f>'plateau 1 '!P16</f>
        <v>84</v>
      </c>
      <c r="Q22" s="115">
        <f>'plateau 1 '!Q16</f>
        <v>-88</v>
      </c>
      <c r="R22" s="115">
        <f>'plateau 1 '!R16</f>
        <v>88</v>
      </c>
      <c r="S22" s="319">
        <f>'plateau 1 '!S16</f>
        <v>88</v>
      </c>
      <c r="T22" s="188">
        <f>'plateau 1 '!T16</f>
        <v>159</v>
      </c>
      <c r="U22" s="188" t="str">
        <f>'plateau 1 '!U16</f>
        <v>INTA + 14</v>
      </c>
      <c r="V22" s="188" t="str">
        <f>'plateau 1 '!V16</f>
        <v>U15 F64</v>
      </c>
      <c r="W22" s="320">
        <f>'plateau 1 '!W16</f>
        <v>211.53135220638168</v>
      </c>
      <c r="X22" s="82"/>
      <c r="Y22" s="80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</row>
    <row r="23" spans="2:88" s="4" customFormat="1" ht="30" customHeight="1" thickBot="1" x14ac:dyDescent="0.3">
      <c r="B23" s="115">
        <f>'plateau 3'!B11</f>
        <v>16</v>
      </c>
      <c r="C23" s="115">
        <f>'plateau 1 '!C17</f>
        <v>0</v>
      </c>
      <c r="D23" s="115">
        <f>'plateau 1 '!D17</f>
        <v>0</v>
      </c>
      <c r="E23" s="115" t="str">
        <f>'plateau 1 '!E17</f>
        <v>F</v>
      </c>
      <c r="F23" s="115" t="str">
        <f>'plateau 1 '!F17</f>
        <v>LUBIN</v>
      </c>
      <c r="G23" s="115" t="str">
        <f>'plateau 1 '!G17</f>
        <v>Darnley</v>
      </c>
      <c r="H23" s="115">
        <f>'plateau 1 '!H17</f>
        <v>2001</v>
      </c>
      <c r="I23" s="115" t="str">
        <f>'plateau 1 '!I17</f>
        <v>Franconville</v>
      </c>
      <c r="J23" s="115" t="str">
        <f>'plateau 1 '!J17</f>
        <v>FR</v>
      </c>
      <c r="K23" s="115">
        <f>'plateau 1 '!K17</f>
        <v>95.45</v>
      </c>
      <c r="L23" s="115">
        <f>'plateau 1 '!L17</f>
        <v>-73</v>
      </c>
      <c r="M23" s="115">
        <f>'plateau 1 '!M17</f>
        <v>73</v>
      </c>
      <c r="N23" s="115">
        <f>'plateau 1 '!N17</f>
        <v>78</v>
      </c>
      <c r="O23" s="115">
        <f>'plateau 1 '!O17</f>
        <v>78</v>
      </c>
      <c r="P23" s="115">
        <f>'plateau 1 '!P17</f>
        <v>92</v>
      </c>
      <c r="Q23" s="115">
        <f>'plateau 1 '!Q17</f>
        <v>-100</v>
      </c>
      <c r="R23" s="115">
        <f>'plateau 1 '!R17</f>
        <v>102</v>
      </c>
      <c r="S23" s="319">
        <f>'plateau 1 '!S17</f>
        <v>102</v>
      </c>
      <c r="T23" s="188">
        <f>'plateau 1 '!T17</f>
        <v>180</v>
      </c>
      <c r="U23" s="188" t="str">
        <f>'plateau 1 '!U17</f>
        <v>FED + 18</v>
      </c>
      <c r="V23" s="188" t="str">
        <f>'plateau 1 '!V17</f>
        <v>SE F&gt;87</v>
      </c>
      <c r="W23" s="320">
        <f>'plateau 1 '!W17</f>
        <v>194.54231004502435</v>
      </c>
      <c r="X23" s="82"/>
      <c r="Y23" s="80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</row>
    <row r="24" spans="2:88" s="4" customFormat="1" ht="30" customHeight="1" thickBot="1" x14ac:dyDescent="0.3">
      <c r="B24" s="115">
        <f>'plateau 3'!B12</f>
        <v>17</v>
      </c>
      <c r="C24" s="115">
        <f>'plateau 3'!C15</f>
        <v>0</v>
      </c>
      <c r="D24" s="115">
        <f>'plateau 3'!D15</f>
        <v>0</v>
      </c>
      <c r="E24" s="115" t="str">
        <f>'plateau 3'!E15</f>
        <v>F</v>
      </c>
      <c r="F24" s="115" t="str">
        <f>'plateau 3'!F15</f>
        <v>MYSHOVETS</v>
      </c>
      <c r="G24" s="115" t="str">
        <f>'plateau 3'!G15</f>
        <v>Sofia</v>
      </c>
      <c r="H24" s="115">
        <f>'plateau 3'!H15</f>
        <v>2010</v>
      </c>
      <c r="I24" s="115" t="str">
        <f>'plateau 3'!I15</f>
        <v>Ukraine</v>
      </c>
      <c r="J24" s="115" t="str">
        <f>'plateau 3'!J15</f>
        <v>UKR</v>
      </c>
      <c r="K24" s="115">
        <f>'plateau 3'!K15</f>
        <v>103.56</v>
      </c>
      <c r="L24" s="115">
        <f>'plateau 3'!L15</f>
        <v>-73</v>
      </c>
      <c r="M24" s="115">
        <f>'plateau 3'!M15</f>
        <v>73</v>
      </c>
      <c r="N24" s="115">
        <f>'plateau 3'!N15</f>
        <v>77</v>
      </c>
      <c r="O24" s="115">
        <f>'plateau 3'!O15</f>
        <v>77</v>
      </c>
      <c r="P24" s="115">
        <f>'plateau 3'!P15</f>
        <v>95</v>
      </c>
      <c r="Q24" s="115">
        <f>'plateau 3'!Q15</f>
        <v>100</v>
      </c>
      <c r="R24" s="115">
        <f>'plateau 3'!R15</f>
        <v>-105</v>
      </c>
      <c r="S24" s="319">
        <f>'plateau 3'!S15</f>
        <v>100</v>
      </c>
      <c r="T24" s="188">
        <f>'plateau 3'!T15</f>
        <v>177</v>
      </c>
      <c r="U24" s="188" t="e">
        <f>'plateau 3'!U15</f>
        <v>#N/A</v>
      </c>
      <c r="V24" s="188" t="str">
        <f>'plateau 3'!V15</f>
        <v>NON</v>
      </c>
      <c r="W24" s="320">
        <f>'plateau 3'!W15</f>
        <v>186.70648957173458</v>
      </c>
      <c r="X24" s="82"/>
      <c r="Y24" s="80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</row>
    <row r="25" spans="2:88" s="4" customFormat="1" ht="30" customHeight="1" thickBot="1" x14ac:dyDescent="0.3">
      <c r="B25" s="115">
        <f>'plateau 3'!B13</f>
        <v>18</v>
      </c>
      <c r="C25" s="115">
        <f>'plateau 1 '!C14</f>
        <v>0</v>
      </c>
      <c r="D25" s="115">
        <f>'plateau 1 '!D14</f>
        <v>0</v>
      </c>
      <c r="E25" s="115" t="str">
        <f>'plateau 1 '!E14</f>
        <v>F</v>
      </c>
      <c r="F25" s="115" t="str">
        <f>'plateau 1 '!F14</f>
        <v>RICHEVAUX</v>
      </c>
      <c r="G25" s="115" t="str">
        <f>'plateau 1 '!G14</f>
        <v>Jade</v>
      </c>
      <c r="H25" s="115">
        <f>'plateau 1 '!H14</f>
        <v>2009</v>
      </c>
      <c r="I25" s="115" t="str">
        <f>'plateau 1 '!I14</f>
        <v>Franconville</v>
      </c>
      <c r="J25" s="115" t="str">
        <f>'plateau 1 '!J14</f>
        <v>FR</v>
      </c>
      <c r="K25" s="115">
        <f>'plateau 1 '!K14</f>
        <v>58.8</v>
      </c>
      <c r="L25" s="115">
        <f>'plateau 1 '!L14</f>
        <v>60</v>
      </c>
      <c r="M25" s="115">
        <f>'plateau 1 '!M14</f>
        <v>-64</v>
      </c>
      <c r="N25" s="115">
        <f>'plateau 1 '!N14</f>
        <v>-65</v>
      </c>
      <c r="O25" s="115">
        <f>'plateau 1 '!O14</f>
        <v>60</v>
      </c>
      <c r="P25" s="115">
        <f>'plateau 1 '!P14</f>
        <v>70</v>
      </c>
      <c r="Q25" s="115">
        <f>'plateau 1 '!Q14</f>
        <v>75</v>
      </c>
      <c r="R25" s="115">
        <f>'plateau 1 '!R14</f>
        <v>-78</v>
      </c>
      <c r="S25" s="319">
        <f>'plateau 1 '!S14</f>
        <v>75</v>
      </c>
      <c r="T25" s="188">
        <f>'plateau 1 '!T14</f>
        <v>135</v>
      </c>
      <c r="U25" s="188" t="str">
        <f>'plateau 1 '!U14</f>
        <v>INTB + 15</v>
      </c>
      <c r="V25" s="188" t="str">
        <f>'plateau 1 '!V14</f>
        <v>U15 F59</v>
      </c>
      <c r="W25" s="320">
        <f>'plateau 1 '!W14</f>
        <v>185.13377763399458</v>
      </c>
      <c r="X25" s="82"/>
      <c r="Y25" s="80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</row>
    <row r="26" spans="2:88" s="4" customFormat="1" ht="30" customHeight="1" thickBot="1" x14ac:dyDescent="0.3">
      <c r="B26" s="115">
        <f>'plateau 3'!B14</f>
        <v>19</v>
      </c>
      <c r="C26" s="115">
        <f>'plateau 1 '!C10</f>
        <v>0</v>
      </c>
      <c r="D26" s="115">
        <f>'plateau 1 '!D10</f>
        <v>0</v>
      </c>
      <c r="E26" s="115" t="str">
        <f>'plateau 1 '!E10</f>
        <v>f</v>
      </c>
      <c r="F26" s="115" t="str">
        <f>'plateau 1 '!F10</f>
        <v>BEAUGER</v>
      </c>
      <c r="G26" s="115" t="str">
        <f>'plateau 1 '!G10</f>
        <v>Clara</v>
      </c>
      <c r="H26" s="115">
        <f>'plateau 1 '!H10</f>
        <v>2012</v>
      </c>
      <c r="I26" s="115" t="str">
        <f>'plateau 1 '!I10</f>
        <v>Sélection France</v>
      </c>
      <c r="J26" s="115" t="str">
        <f>'plateau 1 '!J10</f>
        <v>FR</v>
      </c>
      <c r="K26" s="115">
        <f>'plateau 1 '!K10</f>
        <v>55.45</v>
      </c>
      <c r="L26" s="115">
        <f>'plateau 1 '!L10</f>
        <v>56</v>
      </c>
      <c r="M26" s="115">
        <f>'plateau 1 '!M10</f>
        <v>58</v>
      </c>
      <c r="N26" s="115">
        <f>'plateau 1 '!N10</f>
        <v>60</v>
      </c>
      <c r="O26" s="115">
        <f>'plateau 1 '!O10</f>
        <v>60</v>
      </c>
      <c r="P26" s="115">
        <f>'plateau 1 '!P10</f>
        <v>66</v>
      </c>
      <c r="Q26" s="115">
        <f>'plateau 1 '!Q10</f>
        <v>69</v>
      </c>
      <c r="R26" s="115">
        <f>'plateau 1 '!R10</f>
        <v>-72</v>
      </c>
      <c r="S26" s="319">
        <f>'plateau 1 '!S10</f>
        <v>69</v>
      </c>
      <c r="T26" s="188">
        <f>'plateau 1 '!T10</f>
        <v>129</v>
      </c>
      <c r="U26" s="188" t="e">
        <f>'plateau 1 '!U10</f>
        <v>#N/A</v>
      </c>
      <c r="V26" s="188" t="str">
        <f>'plateau 1 '!V10</f>
        <v>NON</v>
      </c>
      <c r="W26" s="320">
        <f>'plateau 1 '!W10</f>
        <v>184.07383139476144</v>
      </c>
      <c r="X26" s="82"/>
      <c r="Y26" s="80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</row>
    <row r="27" spans="2:88" s="4" customFormat="1" ht="30" customHeight="1" thickBot="1" x14ac:dyDescent="0.3">
      <c r="B27" s="115">
        <f>'plateau 3'!B15</f>
        <v>20</v>
      </c>
      <c r="C27" s="115">
        <f>'plateau 1 '!C11</f>
        <v>0</v>
      </c>
      <c r="D27" s="115">
        <f>'plateau 1 '!D11</f>
        <v>0</v>
      </c>
      <c r="E27" s="115" t="str">
        <f>'plateau 1 '!E11</f>
        <v>F</v>
      </c>
      <c r="F27" s="115" t="str">
        <f>'plateau 1 '!F11</f>
        <v>LESAGE</v>
      </c>
      <c r="G27" s="115" t="str">
        <f>'plateau 1 '!G11</f>
        <v>Pauline</v>
      </c>
      <c r="H27" s="115">
        <f>'plateau 1 '!H11</f>
        <v>1992</v>
      </c>
      <c r="I27" s="115" t="str">
        <f>'plateau 1 '!I11</f>
        <v>Pas de Calais</v>
      </c>
      <c r="J27" s="115" t="str">
        <f>'plateau 1 '!J11</f>
        <v>FR</v>
      </c>
      <c r="K27" s="115">
        <f>'plateau 1 '!K11</f>
        <v>68.8</v>
      </c>
      <c r="L27" s="115">
        <f>'plateau 1 '!L11</f>
        <v>63</v>
      </c>
      <c r="M27" s="115">
        <f>'plateau 1 '!M11</f>
        <v>-66</v>
      </c>
      <c r="N27" s="115">
        <f>'plateau 1 '!N11</f>
        <v>66</v>
      </c>
      <c r="O27" s="115">
        <f>'plateau 1 '!O11</f>
        <v>66</v>
      </c>
      <c r="P27" s="115">
        <f>'plateau 1 '!P11</f>
        <v>-75</v>
      </c>
      <c r="Q27" s="115">
        <f>'plateau 1 '!Q11</f>
        <v>75</v>
      </c>
      <c r="R27" s="115">
        <f>'plateau 1 '!R11</f>
        <v>80</v>
      </c>
      <c r="S27" s="319">
        <f>'plateau 1 '!S11</f>
        <v>80</v>
      </c>
      <c r="T27" s="188">
        <f>'plateau 1 '!T11</f>
        <v>146</v>
      </c>
      <c r="U27" s="188" t="str">
        <f>'plateau 1 '!U11</f>
        <v>IRG + 16</v>
      </c>
      <c r="V27" s="188" t="str">
        <f>'plateau 1 '!V11</f>
        <v>SE F71</v>
      </c>
      <c r="W27" s="320">
        <f>'plateau 1 '!W11</f>
        <v>182.11520462683154</v>
      </c>
      <c r="X27" s="82"/>
      <c r="Y27" s="80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</row>
    <row r="28" spans="2:88" s="4" customFormat="1" ht="30" customHeight="1" thickBot="1" x14ac:dyDescent="0.3">
      <c r="B28" s="115">
        <f>'plateau 3'!B16</f>
        <v>21</v>
      </c>
      <c r="C28" s="115">
        <f>'plateau 1 '!C8</f>
        <v>0</v>
      </c>
      <c r="D28" s="115">
        <f>'plateau 1 '!D8</f>
        <v>0</v>
      </c>
      <c r="E28" s="115" t="str">
        <f>'plateau 1 '!E8</f>
        <v>f</v>
      </c>
      <c r="F28" s="115" t="str">
        <f>'plateau 1 '!F8</f>
        <v>TREVILLOT</v>
      </c>
      <c r="G28" s="115" t="str">
        <f>'plateau 1 '!G8</f>
        <v>Jeanne</v>
      </c>
      <c r="H28" s="115">
        <f>'plateau 1 '!H8</f>
        <v>2011</v>
      </c>
      <c r="I28" s="115" t="str">
        <f>'plateau 1 '!I8</f>
        <v>Sélection France</v>
      </c>
      <c r="J28" s="115" t="str">
        <f>'plateau 1 '!J8</f>
        <v>FR</v>
      </c>
      <c r="K28" s="115">
        <f>'plateau 1 '!K8</f>
        <v>52.8</v>
      </c>
      <c r="L28" s="115">
        <f>'plateau 1 '!L8</f>
        <v>55</v>
      </c>
      <c r="M28" s="115">
        <f>'plateau 1 '!M8</f>
        <v>-57</v>
      </c>
      <c r="N28" s="115">
        <f>'plateau 1 '!N8</f>
        <v>-57</v>
      </c>
      <c r="O28" s="115">
        <f>'plateau 1 '!O8</f>
        <v>55</v>
      </c>
      <c r="P28" s="115">
        <f>'plateau 1 '!P8</f>
        <v>-68</v>
      </c>
      <c r="Q28" s="115">
        <f>'plateau 1 '!Q8</f>
        <v>68</v>
      </c>
      <c r="R28" s="115">
        <f>'plateau 1 '!R8</f>
        <v>-70</v>
      </c>
      <c r="S28" s="319">
        <f>'plateau 1 '!S8</f>
        <v>68</v>
      </c>
      <c r="T28" s="188">
        <f>'plateau 1 '!T8</f>
        <v>123</v>
      </c>
      <c r="U28" s="188" t="e">
        <f>'plateau 1 '!U8</f>
        <v>#N/A</v>
      </c>
      <c r="V28" s="188" t="str">
        <f>'plateau 1 '!V8</f>
        <v>NON</v>
      </c>
      <c r="W28" s="320">
        <f>'plateau 1 '!W8</f>
        <v>181.75685918191846</v>
      </c>
      <c r="X28" s="82"/>
      <c r="Y28" s="80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</row>
    <row r="29" spans="2:88" s="4" customFormat="1" ht="30" customHeight="1" thickBot="1" x14ac:dyDescent="0.3">
      <c r="B29" s="115">
        <f>'plateau 3'!B17</f>
        <v>22</v>
      </c>
      <c r="C29" s="115">
        <f>'plateau 1 '!C7</f>
        <v>0</v>
      </c>
      <c r="D29" s="115"/>
      <c r="E29" s="115" t="str">
        <f>'plateau 1 '!E7</f>
        <v>f</v>
      </c>
      <c r="F29" s="115" t="str">
        <f>'plateau 1 '!F7</f>
        <v>RICHEZ</v>
      </c>
      <c r="G29" s="115" t="str">
        <f>'plateau 1 '!G7</f>
        <v>Albane</v>
      </c>
      <c r="H29" s="115">
        <f>'plateau 1 '!H7</f>
        <v>2008</v>
      </c>
      <c r="I29" s="115" t="str">
        <f>'plateau 1 '!I7</f>
        <v>Nord</v>
      </c>
      <c r="J29" s="115" t="str">
        <f>'plateau 1 '!J7</f>
        <v>FR</v>
      </c>
      <c r="K29" s="115">
        <f>'plateau 1 '!K7</f>
        <v>60.5</v>
      </c>
      <c r="L29" s="115">
        <f>'plateau 1 '!L7</f>
        <v>50</v>
      </c>
      <c r="M29" s="115">
        <f>'plateau 1 '!M7</f>
        <v>54</v>
      </c>
      <c r="N29" s="115">
        <f>'plateau 1 '!N7</f>
        <v>-57</v>
      </c>
      <c r="O29" s="115">
        <f>'plateau 1 '!O7</f>
        <v>54</v>
      </c>
      <c r="P29" s="115">
        <f>'plateau 1 '!P7</f>
        <v>65</v>
      </c>
      <c r="Q29" s="115">
        <f>'plateau 1 '!Q7</f>
        <v>68</v>
      </c>
      <c r="R29" s="115">
        <f>'plateau 1 '!R7</f>
        <v>-72</v>
      </c>
      <c r="S29" s="319">
        <f>'plateau 1 '!S7</f>
        <v>68</v>
      </c>
      <c r="T29" s="188">
        <f>'plateau 1 '!T7</f>
        <v>122</v>
      </c>
      <c r="U29" s="188" t="str">
        <f>'plateau 1 '!U7</f>
        <v>NAT + 12</v>
      </c>
      <c r="V29" s="188" t="str">
        <f>'plateau 1 '!V7</f>
        <v>U15 F64</v>
      </c>
      <c r="W29" s="320">
        <f>'plateau 1 '!W7</f>
        <v>164.24755597365228</v>
      </c>
      <c r="X29" s="82"/>
      <c r="Y29" s="80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</row>
    <row r="30" spans="2:88" s="4" customFormat="1" ht="30" customHeight="1" thickBot="1" x14ac:dyDescent="0.3">
      <c r="B30" s="115">
        <f>'plateau 3'!B18</f>
        <v>23</v>
      </c>
      <c r="C30" s="115">
        <f>'plateau 1 '!C9</f>
        <v>0</v>
      </c>
      <c r="D30" s="115">
        <f>'plateau 1 '!D9</f>
        <v>0</v>
      </c>
      <c r="E30" s="115" t="str">
        <f>'plateau 1 '!E9</f>
        <v>F</v>
      </c>
      <c r="F30" s="115" t="str">
        <f>'plateau 1 '!F9</f>
        <v>NSEGMA</v>
      </c>
      <c r="G30" s="115" t="str">
        <f>'plateau 1 '!G9</f>
        <v>Maelle</v>
      </c>
      <c r="H30" s="115">
        <f>'plateau 1 '!H9</f>
        <v>2008</v>
      </c>
      <c r="I30" s="115" t="str">
        <f>'plateau 1 '!I9</f>
        <v>Espoir cominois</v>
      </c>
      <c r="J30" s="115" t="str">
        <f>'plateau 1 '!J9</f>
        <v>FR</v>
      </c>
      <c r="K30" s="115">
        <f>'plateau 1 '!K9</f>
        <v>61.8</v>
      </c>
      <c r="L30" s="115">
        <f>'plateau 1 '!L9</f>
        <v>52</v>
      </c>
      <c r="M30" s="115">
        <f>'plateau 1 '!M9</f>
        <v>55</v>
      </c>
      <c r="N30" s="115">
        <f>'plateau 1 '!N9</f>
        <v>57</v>
      </c>
      <c r="O30" s="115">
        <f>'plateau 1 '!O9</f>
        <v>57</v>
      </c>
      <c r="P30" s="115">
        <f>'plateau 1 '!P9</f>
        <v>62</v>
      </c>
      <c r="Q30" s="115">
        <f>'plateau 1 '!Q9</f>
        <v>-65</v>
      </c>
      <c r="R30" s="115">
        <f>'plateau 1 '!R9</f>
        <v>-66</v>
      </c>
      <c r="S30" s="319">
        <f>'plateau 1 '!S9</f>
        <v>62</v>
      </c>
      <c r="T30" s="188">
        <f>'plateau 1 '!T9</f>
        <v>119</v>
      </c>
      <c r="U30" s="188" t="str">
        <f>'plateau 1 '!U9</f>
        <v>NAT + 9</v>
      </c>
      <c r="V30" s="188" t="str">
        <f>'plateau 1 '!V9</f>
        <v>U15 F64</v>
      </c>
      <c r="W30" s="320">
        <f>'plateau 1 '!W9</f>
        <v>158.07606853932646</v>
      </c>
      <c r="X30" s="82"/>
      <c r="Y30" s="80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</row>
    <row r="31" spans="2:88" s="4" customFormat="1" ht="30" customHeight="1" thickBot="1" x14ac:dyDescent="0.3">
      <c r="B31" s="115">
        <f>'plateau 3'!B19</f>
        <v>24</v>
      </c>
      <c r="C31" s="115">
        <f>'plateau 3'!C8</f>
        <v>0</v>
      </c>
      <c r="D31" s="115">
        <f>'plateau 3'!D8</f>
        <v>0</v>
      </c>
      <c r="E31" s="115" t="str">
        <f>'plateau 3'!E8</f>
        <v>F</v>
      </c>
      <c r="F31" s="115" t="str">
        <f>'plateau 3'!F8</f>
        <v>ROUY</v>
      </c>
      <c r="G31" s="115" t="str">
        <f>'plateau 3'!G8</f>
        <v>Ilona</v>
      </c>
      <c r="H31" s="115">
        <f>'plateau 3'!H8</f>
        <v>2009</v>
      </c>
      <c r="I31" s="115" t="str">
        <f>'plateau 3'!I8</f>
        <v>Cle Amiens</v>
      </c>
      <c r="J31" s="115" t="str">
        <f>'plateau 3'!J8</f>
        <v>FR</v>
      </c>
      <c r="K31" s="115">
        <f>'plateau 3'!K8</f>
        <v>72.650000000000006</v>
      </c>
      <c r="L31" s="115">
        <f>'plateau 3'!L8</f>
        <v>72</v>
      </c>
      <c r="M31" s="115">
        <f>'plateau 3'!M8</f>
        <v>-74</v>
      </c>
      <c r="N31" s="115">
        <f>'plateau 3'!N8</f>
        <v>-74</v>
      </c>
      <c r="O31" s="115">
        <f>'plateau 3'!O8</f>
        <v>72</v>
      </c>
      <c r="P31" s="115">
        <f>'plateau 3'!P8</f>
        <v>-90</v>
      </c>
      <c r="Q31" s="115">
        <f>'plateau 3'!Q8</f>
        <v>-90</v>
      </c>
      <c r="R31" s="115">
        <f>'plateau 3'!R8</f>
        <v>-90</v>
      </c>
      <c r="S31" s="321">
        <f>'plateau 3'!S8</f>
        <v>0</v>
      </c>
      <c r="T31" s="322">
        <f>'plateau 3'!T8</f>
        <v>72</v>
      </c>
      <c r="U31" s="322" t="str">
        <f>'plateau 3'!U8</f>
        <v>DPT + 7</v>
      </c>
      <c r="V31" s="322" t="str">
        <f>'plateau 3'!V8</f>
        <v>U15 F76</v>
      </c>
      <c r="W31" s="323">
        <f>'plateau 3'!W8</f>
        <v>87.250248990820992</v>
      </c>
      <c r="X31" s="82"/>
      <c r="Y31" s="80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</row>
    <row r="32" spans="2:88" s="4" customFormat="1" ht="30" customHeight="1" thickBot="1" x14ac:dyDescent="0.3"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22"/>
      <c r="T32" s="122"/>
      <c r="U32" s="122"/>
      <c r="V32" s="122"/>
      <c r="W32" s="122"/>
      <c r="X32" s="82"/>
      <c r="Y32" s="80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</row>
    <row r="33" spans="2:88" s="4" customFormat="1" ht="30" customHeight="1" thickBot="1" x14ac:dyDescent="0.3"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82"/>
      <c r="Y33" s="80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</row>
    <row r="34" spans="2:88" s="4" customFormat="1" ht="30" hidden="1" customHeight="1" x14ac:dyDescent="0.25"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82"/>
      <c r="Y34" s="80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</row>
    <row r="35" spans="2:88" s="4" customFormat="1" ht="30" hidden="1" customHeight="1" x14ac:dyDescent="0.25"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82"/>
      <c r="Y35" s="80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</row>
    <row r="36" spans="2:88" s="4" customFormat="1" ht="30" hidden="1" customHeight="1" x14ac:dyDescent="0.25"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82"/>
      <c r="Y36" s="80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</row>
    <row r="37" spans="2:88" s="4" customFormat="1" ht="30" hidden="1" customHeight="1" thickBot="1" x14ac:dyDescent="0.3"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82"/>
      <c r="Y37" s="80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</row>
    <row r="38" spans="2:88" s="4" customFormat="1" ht="16.2" customHeight="1" x14ac:dyDescent="0.25">
      <c r="B38" s="263"/>
      <c r="C38" s="264"/>
      <c r="D38" s="265"/>
      <c r="E38" s="266"/>
      <c r="F38" s="266"/>
      <c r="G38" s="267"/>
      <c r="H38" s="268"/>
      <c r="I38" s="269"/>
      <c r="J38" s="266"/>
      <c r="K38" s="270"/>
      <c r="L38" s="271"/>
      <c r="M38" s="271"/>
      <c r="N38" s="271"/>
      <c r="O38" s="272"/>
      <c r="P38" s="271"/>
      <c r="Q38" s="271"/>
      <c r="R38" s="271"/>
      <c r="S38" s="272"/>
      <c r="T38" s="273"/>
      <c r="U38" s="274"/>
      <c r="V38" s="275"/>
      <c r="W38" s="276"/>
      <c r="X38" s="82"/>
      <c r="Y38" s="80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</row>
    <row r="39" spans="2:88" s="4" customFormat="1" ht="30" customHeight="1" thickBot="1" x14ac:dyDescent="0.3">
      <c r="B39" s="365" t="s">
        <v>142</v>
      </c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7"/>
      <c r="X39" s="82"/>
      <c r="Y39" s="80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</row>
    <row r="40" spans="2:88" s="4" customFormat="1" ht="30" customHeight="1" x14ac:dyDescent="0.25">
      <c r="B40" s="122">
        <f>'plateau 2'!B7</f>
        <v>101</v>
      </c>
      <c r="C40" s="122">
        <f>'plateau 4'!C18</f>
        <v>0</v>
      </c>
      <c r="D40" s="122">
        <f>'plateau 4'!D18</f>
        <v>0</v>
      </c>
      <c r="E40" s="122" t="str">
        <f>'plateau 4'!E18</f>
        <v>H</v>
      </c>
      <c r="F40" s="122" t="str">
        <f>'plateau 4'!F18</f>
        <v>IMADOUCHENE</v>
      </c>
      <c r="G40" s="122" t="str">
        <f>'plateau 4'!G18</f>
        <v>Romain</v>
      </c>
      <c r="H40" s="122">
        <f>'plateau 4'!H18</f>
        <v>1995</v>
      </c>
      <c r="I40" s="122" t="str">
        <f>'plateau 4'!I18</f>
        <v>Nord</v>
      </c>
      <c r="J40" s="122" t="str">
        <f>'plateau 4'!J18</f>
        <v>FR</v>
      </c>
      <c r="K40" s="122">
        <f>'plateau 4'!K18</f>
        <v>96.25</v>
      </c>
      <c r="L40" s="122">
        <f>'plateau 4'!L18</f>
        <v>-150</v>
      </c>
      <c r="M40" s="122">
        <f>'plateau 4'!M18</f>
        <v>150</v>
      </c>
      <c r="N40" s="122">
        <f>'plateau 4'!N18</f>
        <v>0</v>
      </c>
      <c r="O40" s="122">
        <f>'plateau 4'!O18</f>
        <v>150</v>
      </c>
      <c r="P40" s="122">
        <f>'plateau 4'!P18</f>
        <v>185</v>
      </c>
      <c r="Q40" s="122">
        <f>'plateau 4'!Q18</f>
        <v>-190</v>
      </c>
      <c r="R40" s="122">
        <f>'plateau 4'!R18</f>
        <v>0</v>
      </c>
      <c r="S40" s="122">
        <f>'plateau 4'!S18</f>
        <v>185</v>
      </c>
      <c r="T40" s="122">
        <f>'plateau 4'!T18</f>
        <v>335</v>
      </c>
      <c r="U40" s="122" t="str">
        <f>'plateau 4'!U18</f>
        <v>NAT + 33</v>
      </c>
      <c r="V40" s="122" t="str">
        <f>'plateau 4'!V18</f>
        <v>SE M102</v>
      </c>
      <c r="W40" s="122">
        <f>'plateau 4'!W18</f>
        <v>390.508931511279</v>
      </c>
      <c r="X40" s="82"/>
      <c r="Y40" s="80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</row>
    <row r="41" spans="2:88" s="4" customFormat="1" ht="30" customHeight="1" x14ac:dyDescent="0.25">
      <c r="B41" s="122">
        <f>'plateau 2'!B8</f>
        <v>102</v>
      </c>
      <c r="C41" s="122">
        <f>'plateau 4'!C17</f>
        <v>0</v>
      </c>
      <c r="D41" s="122">
        <f>'plateau 4'!D17</f>
        <v>0</v>
      </c>
      <c r="E41" s="122" t="str">
        <f>'plateau 4'!E17</f>
        <v>H</v>
      </c>
      <c r="F41" s="122" t="str">
        <f>'plateau 4'!F17</f>
        <v>SUNGU</v>
      </c>
      <c r="G41" s="122" t="str">
        <f>'plateau 4'!G17</f>
        <v>Burak</v>
      </c>
      <c r="H41" s="122">
        <f>'plateau 4'!H17</f>
        <v>1997</v>
      </c>
      <c r="I41" s="122" t="str">
        <f>'plateau 4'!I17</f>
        <v>Belgique 1</v>
      </c>
      <c r="J41" s="122" t="str">
        <f>'plateau 4'!J17</f>
        <v>BEL</v>
      </c>
      <c r="K41" s="122">
        <f>'plateau 4'!K17</f>
        <v>97.35</v>
      </c>
      <c r="L41" s="122">
        <f>'plateau 4'!L17</f>
        <v>145</v>
      </c>
      <c r="M41" s="122">
        <f>'plateau 4'!M17</f>
        <v>150</v>
      </c>
      <c r="N41" s="122">
        <f>'plateau 4'!N17</f>
        <v>154</v>
      </c>
      <c r="O41" s="122">
        <f>'plateau 4'!O17</f>
        <v>154</v>
      </c>
      <c r="P41" s="122">
        <f>'plateau 4'!P17</f>
        <v>168</v>
      </c>
      <c r="Q41" s="122">
        <f>'plateau 4'!Q17</f>
        <v>175</v>
      </c>
      <c r="R41" s="122">
        <f>'plateau 4'!R17</f>
        <v>-180</v>
      </c>
      <c r="S41" s="122">
        <f>'plateau 4'!S17</f>
        <v>175</v>
      </c>
      <c r="T41" s="122">
        <f>'plateau 4'!T17</f>
        <v>329</v>
      </c>
      <c r="U41" s="122" t="str">
        <f>'plateau 4'!U17</f>
        <v>NAT + 27</v>
      </c>
      <c r="V41" s="122" t="str">
        <f>'plateau 4'!V17</f>
        <v>SE M102</v>
      </c>
      <c r="W41" s="122">
        <f>'plateau 4'!W17</f>
        <v>381.62281080213785</v>
      </c>
      <c r="X41" s="82"/>
      <c r="Y41" s="80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</row>
    <row r="42" spans="2:88" s="4" customFormat="1" ht="30" customHeight="1" x14ac:dyDescent="0.25">
      <c r="B42" s="122">
        <f>'plateau 2'!B9</f>
        <v>103</v>
      </c>
      <c r="C42" s="122">
        <f>'plateau 4'!C15</f>
        <v>0</v>
      </c>
      <c r="D42" s="122">
        <f>'plateau 4'!D15</f>
        <v>0</v>
      </c>
      <c r="E42" s="122" t="str">
        <f>'plateau 4'!E15</f>
        <v>H</v>
      </c>
      <c r="F42" s="122" t="str">
        <f>'plateau 4'!F15</f>
        <v>COLIN</v>
      </c>
      <c r="G42" s="122" t="str">
        <f>'plateau 4'!G15</f>
        <v>Thomas</v>
      </c>
      <c r="H42" s="122">
        <f>'plateau 4'!H15</f>
        <v>1992</v>
      </c>
      <c r="I42" s="122" t="str">
        <f>'plateau 4'!I15</f>
        <v>Franconville</v>
      </c>
      <c r="J42" s="122" t="str">
        <f>'plateau 4'!J15</f>
        <v>FR</v>
      </c>
      <c r="K42" s="122">
        <f>'plateau 4'!K15</f>
        <v>86.65</v>
      </c>
      <c r="L42" s="122">
        <f>'plateau 4'!L15</f>
        <v>-130</v>
      </c>
      <c r="M42" s="122">
        <f>'plateau 4'!M15</f>
        <v>130</v>
      </c>
      <c r="N42" s="122">
        <f>'plateau 4'!N15</f>
        <v>-133</v>
      </c>
      <c r="O42" s="122">
        <f>'plateau 4'!O15</f>
        <v>130</v>
      </c>
      <c r="P42" s="122">
        <f>'plateau 4'!P15</f>
        <v>145</v>
      </c>
      <c r="Q42" s="122">
        <f>'plateau 4'!Q15</f>
        <v>153</v>
      </c>
      <c r="R42" s="122">
        <f>'plateau 4'!R15</f>
        <v>158</v>
      </c>
      <c r="S42" s="122">
        <f>'plateau 4'!S15</f>
        <v>158</v>
      </c>
      <c r="T42" s="122">
        <f>'plateau 4'!T15</f>
        <v>288</v>
      </c>
      <c r="U42" s="122" t="str">
        <f>'plateau 4'!U15</f>
        <v>NAT + 1</v>
      </c>
      <c r="V42" s="122" t="str">
        <f>'plateau 4'!V15</f>
        <v>SE M89</v>
      </c>
      <c r="W42" s="122">
        <f>'plateau 4'!W15</f>
        <v>352.78076309536038</v>
      </c>
      <c r="X42" s="82"/>
      <c r="Y42" s="80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</row>
    <row r="43" spans="2:88" s="4" customFormat="1" ht="30" customHeight="1" x14ac:dyDescent="0.25">
      <c r="B43" s="122">
        <f>'plateau 2'!B10</f>
        <v>104</v>
      </c>
      <c r="C43" s="122">
        <f>'plateau 4'!C14</f>
        <v>0</v>
      </c>
      <c r="D43" s="122">
        <f>'plateau 4'!D14</f>
        <v>0</v>
      </c>
      <c r="E43" s="122" t="str">
        <f>'plateau 4'!E14</f>
        <v>H</v>
      </c>
      <c r="F43" s="122" t="str">
        <f>'plateau 4'!F14</f>
        <v>COLOMBO</v>
      </c>
      <c r="G43" s="122" t="str">
        <f>'plateau 4'!G14</f>
        <v>Ludwig</v>
      </c>
      <c r="H43" s="122">
        <f>'plateau 4'!H14</f>
        <v>1995</v>
      </c>
      <c r="I43" s="122" t="str">
        <f>'plateau 4'!I14</f>
        <v>Franconville</v>
      </c>
      <c r="J43" s="122" t="str">
        <f>'plateau 4'!J14</f>
        <v>FR</v>
      </c>
      <c r="K43" s="122">
        <f>'plateau 4'!K14</f>
        <v>85.5</v>
      </c>
      <c r="L43" s="122">
        <f>'plateau 4'!L14</f>
        <v>125</v>
      </c>
      <c r="M43" s="122">
        <f>'plateau 4'!M14</f>
        <v>130</v>
      </c>
      <c r="N43" s="122">
        <f>'plateau 4'!N14</f>
        <v>-135</v>
      </c>
      <c r="O43" s="122">
        <f>'plateau 4'!O14</f>
        <v>130</v>
      </c>
      <c r="P43" s="122">
        <f>'plateau 4'!P14</f>
        <v>150</v>
      </c>
      <c r="Q43" s="122">
        <f>'plateau 4'!Q14</f>
        <v>156</v>
      </c>
      <c r="R43" s="122">
        <f>'plateau 4'!R14</f>
        <v>-160</v>
      </c>
      <c r="S43" s="122">
        <f>'plateau 4'!S14</f>
        <v>156</v>
      </c>
      <c r="T43" s="122">
        <f>'plateau 4'!T14</f>
        <v>286</v>
      </c>
      <c r="U43" s="122" t="str">
        <f>'plateau 4'!U14</f>
        <v>FED + 26</v>
      </c>
      <c r="V43" s="122" t="str">
        <f>'plateau 4'!V14</f>
        <v>SE M89</v>
      </c>
      <c r="W43" s="122">
        <f>'plateau 4'!W14</f>
        <v>352.72103531722564</v>
      </c>
      <c r="X43" s="82"/>
      <c r="Y43" s="80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</row>
    <row r="44" spans="2:88" s="4" customFormat="1" ht="30" customHeight="1" x14ac:dyDescent="0.25">
      <c r="B44" s="122">
        <f>'plateau 2'!B11</f>
        <v>105</v>
      </c>
      <c r="C44" s="122">
        <f>'plateau 4'!C11</f>
        <v>0</v>
      </c>
      <c r="D44" s="122">
        <f>'plateau 4'!D11</f>
        <v>0</v>
      </c>
      <c r="E44" s="122" t="str">
        <f>'plateau 4'!E11</f>
        <v>H</v>
      </c>
      <c r="F44" s="122" t="str">
        <f>'plateau 4'!F11</f>
        <v>PETERS</v>
      </c>
      <c r="G44" s="122" t="str">
        <f>'plateau 4'!G11</f>
        <v>Loric</v>
      </c>
      <c r="H44" s="122">
        <f>'plateau 4'!H11</f>
        <v>2000</v>
      </c>
      <c r="I44" s="122" t="str">
        <f>'plateau 4'!I11</f>
        <v>Belgique 1</v>
      </c>
      <c r="J44" s="122" t="str">
        <f>'plateau 4'!J11</f>
        <v>BEL</v>
      </c>
      <c r="K44" s="122">
        <f>'plateau 4'!K11</f>
        <v>78.349999999999994</v>
      </c>
      <c r="L44" s="122">
        <f>'plateau 4'!L11</f>
        <v>115</v>
      </c>
      <c r="M44" s="122">
        <f>'plateau 4'!M11</f>
        <v>120</v>
      </c>
      <c r="N44" s="122">
        <f>'plateau 4'!N11</f>
        <v>-123</v>
      </c>
      <c r="O44" s="122">
        <f>'plateau 4'!O11</f>
        <v>120</v>
      </c>
      <c r="P44" s="122">
        <f>'plateau 4'!P11</f>
        <v>143</v>
      </c>
      <c r="Q44" s="122">
        <f>'plateau 4'!Q11</f>
        <v>148</v>
      </c>
      <c r="R44" s="122">
        <f>'plateau 4'!R11</f>
        <v>152</v>
      </c>
      <c r="S44" s="122">
        <f>'plateau 4'!S11</f>
        <v>152</v>
      </c>
      <c r="T44" s="122">
        <f>'plateau 4'!T11</f>
        <v>272</v>
      </c>
      <c r="U44" s="122" t="str">
        <f>'plateau 4'!U11</f>
        <v>FED + 22</v>
      </c>
      <c r="V44" s="122" t="str">
        <f>'plateau 4'!V11</f>
        <v>SE M81</v>
      </c>
      <c r="W44" s="122">
        <f>'plateau 4'!W11</f>
        <v>351.66925943846491</v>
      </c>
      <c r="X44" s="82"/>
      <c r="Y44" s="80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</row>
    <row r="45" spans="2:88" s="4" customFormat="1" ht="30" customHeight="1" x14ac:dyDescent="0.25">
      <c r="B45" s="122">
        <f>'plateau 2'!B12</f>
        <v>106</v>
      </c>
      <c r="C45" s="122">
        <f>'plateau 2'!C16</f>
        <v>0</v>
      </c>
      <c r="D45" s="122">
        <f>'plateau 2'!D16</f>
        <v>0</v>
      </c>
      <c r="E45" s="122" t="str">
        <f>'plateau 2'!E16</f>
        <v>H</v>
      </c>
      <c r="F45" s="122" t="str">
        <f>'plateau 2'!F16</f>
        <v>PEDRAK</v>
      </c>
      <c r="G45" s="122" t="str">
        <f>'plateau 2'!G16</f>
        <v>Benjamin</v>
      </c>
      <c r="H45" s="122">
        <f>'plateau 2'!H16</f>
        <v>1998</v>
      </c>
      <c r="I45" s="122" t="str">
        <f>'plateau 2'!I16</f>
        <v>Cle Amiens</v>
      </c>
      <c r="J45" s="122" t="str">
        <f>'plateau 2'!J16</f>
        <v>FR</v>
      </c>
      <c r="K45" s="122">
        <f>'plateau 2'!K16</f>
        <v>68.349999999999994</v>
      </c>
      <c r="L45" s="122">
        <f>'plateau 2'!L16</f>
        <v>-110</v>
      </c>
      <c r="M45" s="122">
        <f>'plateau 2'!M16</f>
        <v>110</v>
      </c>
      <c r="N45" s="122">
        <f>'plateau 2'!N16</f>
        <v>115</v>
      </c>
      <c r="O45" s="122">
        <f>'plateau 2'!O16</f>
        <v>115</v>
      </c>
      <c r="P45" s="122">
        <f>'plateau 2'!P16</f>
        <v>-135</v>
      </c>
      <c r="Q45" s="122">
        <f>'plateau 2'!Q16</f>
        <v>135</v>
      </c>
      <c r="R45" s="122">
        <f>'plateau 2'!R16</f>
        <v>-145</v>
      </c>
      <c r="S45" s="122">
        <f>'plateau 2'!S16</f>
        <v>135</v>
      </c>
      <c r="T45" s="122">
        <f>'plateau 2'!T16</f>
        <v>250</v>
      </c>
      <c r="U45" s="122" t="str">
        <f>'plateau 2'!U16</f>
        <v>FED + 10</v>
      </c>
      <c r="V45" s="122" t="str">
        <f>'plateau 2'!V16</f>
        <v>SE M73</v>
      </c>
      <c r="W45" s="122">
        <f>'plateau 2'!W16</f>
        <v>351.33830728015909</v>
      </c>
      <c r="X45" s="82"/>
      <c r="Y45" s="80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</row>
    <row r="46" spans="2:88" s="4" customFormat="1" ht="30" customHeight="1" x14ac:dyDescent="0.25">
      <c r="B46" s="122">
        <f>'plateau 2'!B13</f>
        <v>107</v>
      </c>
      <c r="C46" s="122">
        <f>'plateau 4'!C7</f>
        <v>0</v>
      </c>
      <c r="D46" s="122">
        <f>'plateau 4'!D7</f>
        <v>0</v>
      </c>
      <c r="E46" s="122" t="str">
        <f>'plateau 4'!E7</f>
        <v>H</v>
      </c>
      <c r="F46" s="122" t="str">
        <f>'plateau 4'!F7</f>
        <v>SOM</v>
      </c>
      <c r="G46" s="122" t="str">
        <f>'plateau 4'!G7</f>
        <v>Hanzo</v>
      </c>
      <c r="H46" s="122">
        <f>'plateau 4'!H7</f>
        <v>2005</v>
      </c>
      <c r="I46" s="122" t="str">
        <f>'plateau 4'!I7</f>
        <v>Nord</v>
      </c>
      <c r="J46" s="122" t="str">
        <f>'plateau 4'!J7</f>
        <v>FR</v>
      </c>
      <c r="K46" s="122">
        <f>'plateau 4'!K7</f>
        <v>70.150000000000006</v>
      </c>
      <c r="L46" s="122">
        <f>'plateau 4'!L7</f>
        <v>107</v>
      </c>
      <c r="M46" s="122">
        <f>'plateau 4'!M7</f>
        <v>112</v>
      </c>
      <c r="N46" s="122">
        <f>'plateau 4'!N7</f>
        <v>-117</v>
      </c>
      <c r="O46" s="122">
        <f>'plateau 4'!O7</f>
        <v>112</v>
      </c>
      <c r="P46" s="122">
        <f>'plateau 4'!P7</f>
        <v>135</v>
      </c>
      <c r="Q46" s="122">
        <f>'plateau 4'!Q7</f>
        <v>-140</v>
      </c>
      <c r="R46" s="122">
        <f>'plateau 4'!R7</f>
        <v>-140</v>
      </c>
      <c r="S46" s="122">
        <f>'plateau 4'!S7</f>
        <v>135</v>
      </c>
      <c r="T46" s="122">
        <f>'plateau 4'!T7</f>
        <v>247</v>
      </c>
      <c r="U46" s="122" t="str">
        <f>'plateau 4'!U7</f>
        <v>NAT + 17</v>
      </c>
      <c r="V46" s="122" t="str">
        <f>'plateau 4'!V7</f>
        <v>U20 M73</v>
      </c>
      <c r="W46" s="122">
        <f>'plateau 4'!W7</f>
        <v>341.34648171395332</v>
      </c>
      <c r="X46" s="82"/>
      <c r="Y46" s="80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</row>
    <row r="47" spans="2:88" s="4" customFormat="1" ht="30" customHeight="1" x14ac:dyDescent="0.25">
      <c r="B47" s="122">
        <f>'plateau 2'!B14</f>
        <v>108</v>
      </c>
      <c r="C47" s="122">
        <f>'plateau 4'!C9</f>
        <v>0</v>
      </c>
      <c r="D47" s="122">
        <f>'plateau 4'!D9</f>
        <v>0</v>
      </c>
      <c r="E47" s="122" t="str">
        <f>'plateau 4'!E9</f>
        <v>H</v>
      </c>
      <c r="F47" s="122" t="str">
        <f>'plateau 4'!F9</f>
        <v>COUCHARD</v>
      </c>
      <c r="G47" s="122" t="str">
        <f>'plateau 4'!G9</f>
        <v>Robin</v>
      </c>
      <c r="H47" s="122">
        <f>'plateau 4'!H9</f>
        <v>2000</v>
      </c>
      <c r="I47" s="122" t="str">
        <f>'plateau 4'!I9</f>
        <v>Belgique 2</v>
      </c>
      <c r="J47" s="122" t="str">
        <f>'plateau 4'!J9</f>
        <v>BEL</v>
      </c>
      <c r="K47" s="122">
        <f>'plateau 4'!K9</f>
        <v>79.150000000000006</v>
      </c>
      <c r="L47" s="122">
        <f>'plateau 4'!L9</f>
        <v>116</v>
      </c>
      <c r="M47" s="122">
        <f>'plateau 4'!M9</f>
        <v>121</v>
      </c>
      <c r="N47" s="122">
        <f>'plateau 4'!N9</f>
        <v>-124</v>
      </c>
      <c r="O47" s="122">
        <f>'plateau 4'!O9</f>
        <v>121</v>
      </c>
      <c r="P47" s="122">
        <f>'plateau 4'!P9</f>
        <v>138</v>
      </c>
      <c r="Q47" s="122">
        <f>'plateau 4'!Q9</f>
        <v>143</v>
      </c>
      <c r="R47" s="122">
        <f>'plateau 4'!R9</f>
        <v>-148</v>
      </c>
      <c r="S47" s="122">
        <f>'plateau 4'!S9</f>
        <v>143</v>
      </c>
      <c r="T47" s="122">
        <f>'plateau 4'!T9</f>
        <v>264</v>
      </c>
      <c r="U47" s="122" t="str">
        <f>'plateau 4'!U9</f>
        <v>FED + 14</v>
      </c>
      <c r="V47" s="122" t="str">
        <f>'plateau 4'!V9</f>
        <v>SE M81</v>
      </c>
      <c r="W47" s="122">
        <f>'plateau 4'!W9</f>
        <v>339.37343893370996</v>
      </c>
      <c r="X47" s="82"/>
      <c r="Y47" s="80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</row>
    <row r="48" spans="2:88" s="4" customFormat="1" ht="30" customHeight="1" x14ac:dyDescent="0.25">
      <c r="B48" s="122">
        <f>'plateau 2'!B15</f>
        <v>109</v>
      </c>
      <c r="C48" s="122">
        <f>'plateau 2'!C15</f>
        <v>0</v>
      </c>
      <c r="D48" s="122">
        <f>'plateau 2'!D15</f>
        <v>0</v>
      </c>
      <c r="E48" s="122" t="str">
        <f>'plateau 2'!E15</f>
        <v>H</v>
      </c>
      <c r="F48" s="122" t="str">
        <f>'plateau 2'!F15</f>
        <v>AYDOGAN</v>
      </c>
      <c r="G48" s="122" t="str">
        <f>'plateau 2'!G15</f>
        <v>Atilla</v>
      </c>
      <c r="H48" s="122">
        <f>'plateau 2'!H15</f>
        <v>2005</v>
      </c>
      <c r="I48" s="122" t="str">
        <f>'plateau 2'!I15</f>
        <v>Belgique 2</v>
      </c>
      <c r="J48" s="122" t="str">
        <f>'plateau 2'!J15</f>
        <v>BEL</v>
      </c>
      <c r="K48" s="122">
        <f>'plateau 2'!K15</f>
        <v>66.55</v>
      </c>
      <c r="L48" s="122">
        <f>'plateau 2'!L15</f>
        <v>105</v>
      </c>
      <c r="M48" s="122">
        <f>'plateau 2'!M15</f>
        <v>-110</v>
      </c>
      <c r="N48" s="122">
        <f>'plateau 2'!N15</f>
        <v>-110</v>
      </c>
      <c r="O48" s="122">
        <f>'plateau 2'!O15</f>
        <v>105</v>
      </c>
      <c r="P48" s="122">
        <f>'plateau 2'!P15</f>
        <v>127</v>
      </c>
      <c r="Q48" s="122">
        <f>'plateau 2'!Q15</f>
        <v>-135</v>
      </c>
      <c r="R48" s="122">
        <f>'plateau 2'!R15</f>
        <v>-135</v>
      </c>
      <c r="S48" s="122">
        <f>'plateau 2'!S15</f>
        <v>127</v>
      </c>
      <c r="T48" s="122">
        <f>'plateau 2'!T15</f>
        <v>232</v>
      </c>
      <c r="U48" s="122" t="str">
        <f>'plateau 2'!U15</f>
        <v>NAT + 14</v>
      </c>
      <c r="V48" s="122" t="str">
        <f>'plateau 2'!V15</f>
        <v>U20 M67</v>
      </c>
      <c r="W48" s="122">
        <f>'plateau 2'!W15</f>
        <v>331.85369094858066</v>
      </c>
      <c r="X48" s="81"/>
      <c r="Y48" s="75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</row>
    <row r="49" spans="2:88" s="4" customFormat="1" ht="30" customHeight="1" x14ac:dyDescent="0.25">
      <c r="B49" s="122">
        <f>'plateau 2'!B16</f>
        <v>110</v>
      </c>
      <c r="C49" s="122">
        <f>'plateau 4'!C12</f>
        <v>0</v>
      </c>
      <c r="D49" s="122">
        <f>'plateau 4'!D12</f>
        <v>0</v>
      </c>
      <c r="E49" s="122" t="str">
        <f>'plateau 4'!E12</f>
        <v>H</v>
      </c>
      <c r="F49" s="122" t="str">
        <f>'plateau 4'!F12</f>
        <v>KEARNEY</v>
      </c>
      <c r="G49" s="122" t="str">
        <f>'plateau 4'!G12</f>
        <v>Jack</v>
      </c>
      <c r="H49" s="122">
        <f>'plateau 4'!H12</f>
        <v>2005</v>
      </c>
      <c r="I49" s="122" t="str">
        <f>'plateau 4'!I12</f>
        <v>Irlande</v>
      </c>
      <c r="J49" s="122" t="str">
        <f>'plateau 4'!J12</f>
        <v>IRL</v>
      </c>
      <c r="K49" s="122">
        <f>'plateau 4'!K12</f>
        <v>93.15</v>
      </c>
      <c r="L49" s="122">
        <f>'plateau 4'!L12</f>
        <v>118</v>
      </c>
      <c r="M49" s="122">
        <f>'plateau 4'!M12</f>
        <v>-123</v>
      </c>
      <c r="N49" s="122">
        <f>'plateau 4'!N12</f>
        <v>-123</v>
      </c>
      <c r="O49" s="122">
        <f>'plateau 4'!O12</f>
        <v>118</v>
      </c>
      <c r="P49" s="122">
        <f>'plateau 4'!P12</f>
        <v>155</v>
      </c>
      <c r="Q49" s="122">
        <f>'plateau 4'!Q12</f>
        <v>160</v>
      </c>
      <c r="R49" s="122">
        <f>'plateau 4'!R12</f>
        <v>-165</v>
      </c>
      <c r="S49" s="122">
        <f>'plateau 4'!S12</f>
        <v>160</v>
      </c>
      <c r="T49" s="122">
        <f>'plateau 4'!T12</f>
        <v>278</v>
      </c>
      <c r="U49" s="122" t="str">
        <f>'plateau 4'!U12</f>
        <v>NAT + 18</v>
      </c>
      <c r="V49" s="122" t="str">
        <f>'plateau 4'!V12</f>
        <v>U20 M96</v>
      </c>
      <c r="W49" s="122">
        <f>'plateau 4'!W12</f>
        <v>328.86313918109403</v>
      </c>
      <c r="X49" s="82"/>
      <c r="Y49" s="80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</row>
    <row r="50" spans="2:88" s="4" customFormat="1" ht="30" customHeight="1" x14ac:dyDescent="0.25">
      <c r="B50" s="122">
        <f>'plateau 4'!B7</f>
        <v>111</v>
      </c>
      <c r="C50" s="122">
        <f>'plateau 4'!C8</f>
        <v>0</v>
      </c>
      <c r="D50" s="122">
        <f>'plateau 4'!D8</f>
        <v>0</v>
      </c>
      <c r="E50" s="122" t="str">
        <f>'plateau 4'!E8</f>
        <v>H</v>
      </c>
      <c r="F50" s="122" t="str">
        <f>'plateau 4'!F8</f>
        <v>BUYSSHAERT</v>
      </c>
      <c r="G50" s="122" t="str">
        <f>'plateau 4'!G8</f>
        <v>Tristan</v>
      </c>
      <c r="H50" s="122">
        <f>'plateau 4'!H8</f>
        <v>2003</v>
      </c>
      <c r="I50" s="122" t="str">
        <f>'plateau 4'!I8</f>
        <v>Comines</v>
      </c>
      <c r="J50" s="122" t="str">
        <f>'plateau 4'!J8</f>
        <v>FR</v>
      </c>
      <c r="K50" s="122">
        <f>'plateau 4'!K8</f>
        <v>80.2</v>
      </c>
      <c r="L50" s="122">
        <f>'plateau 4'!L8</f>
        <v>117</v>
      </c>
      <c r="M50" s="122">
        <f>'plateau 4'!M8</f>
        <v>122</v>
      </c>
      <c r="N50" s="122">
        <f>'plateau 4'!N8</f>
        <v>-125</v>
      </c>
      <c r="O50" s="122">
        <f>'plateau 4'!O8</f>
        <v>122</v>
      </c>
      <c r="P50" s="122">
        <f>'plateau 4'!P8</f>
        <v>130</v>
      </c>
      <c r="Q50" s="122">
        <f>'plateau 4'!Q8</f>
        <v>135</v>
      </c>
      <c r="R50" s="122">
        <f>'plateau 4'!R8</f>
        <v>-138</v>
      </c>
      <c r="S50" s="122">
        <f>'plateau 4'!S8</f>
        <v>135</v>
      </c>
      <c r="T50" s="122">
        <f>'plateau 4'!T8</f>
        <v>257</v>
      </c>
      <c r="U50" s="122" t="str">
        <f>'plateau 4'!U8</f>
        <v>NAT + 12</v>
      </c>
      <c r="V50" s="122" t="str">
        <f>'plateau 4'!V8</f>
        <v>U20 M81</v>
      </c>
      <c r="W50" s="122">
        <f>'plateau 4'!W8</f>
        <v>327.95686043098971</v>
      </c>
      <c r="X50" s="82"/>
      <c r="Y50" s="80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</row>
    <row r="51" spans="2:88" s="4" customFormat="1" ht="30" customHeight="1" x14ac:dyDescent="0.25">
      <c r="B51" s="122">
        <f>'plateau 4'!B8</f>
        <v>112</v>
      </c>
      <c r="C51" s="122">
        <f>'plateau 4'!C10</f>
        <v>0</v>
      </c>
      <c r="D51" s="122">
        <f>'plateau 4'!D10</f>
        <v>0</v>
      </c>
      <c r="E51" s="122" t="str">
        <f>'plateau 4'!E10</f>
        <v>h</v>
      </c>
      <c r="F51" s="122" t="str">
        <f>'plateau 4'!F10</f>
        <v>DE HOOP</v>
      </c>
      <c r="G51" s="122" t="str">
        <f>'plateau 4'!G10</f>
        <v>Tom</v>
      </c>
      <c r="H51" s="122">
        <f>'plateau 4'!H10</f>
        <v>2000</v>
      </c>
      <c r="I51" s="122" t="str">
        <f>'plateau 4'!I10</f>
        <v>Waalsport Hollande</v>
      </c>
      <c r="J51" s="122" t="str">
        <f>'plateau 4'!J10</f>
        <v>HOL</v>
      </c>
      <c r="K51" s="122">
        <f>'plateau 4'!K10</f>
        <v>85.5</v>
      </c>
      <c r="L51" s="122">
        <f>'plateau 4'!L10</f>
        <v>110</v>
      </c>
      <c r="M51" s="122">
        <f>'plateau 4'!M10</f>
        <v>114</v>
      </c>
      <c r="N51" s="122">
        <f>'plateau 4'!N10</f>
        <v>-117</v>
      </c>
      <c r="O51" s="122">
        <f>'plateau 4'!O10</f>
        <v>114</v>
      </c>
      <c r="P51" s="122">
        <f>'plateau 4'!P10</f>
        <v>135</v>
      </c>
      <c r="Q51" s="122">
        <f>'plateau 4'!Q10</f>
        <v>142</v>
      </c>
      <c r="R51" s="122">
        <f>'plateau 4'!R10</f>
        <v>-146</v>
      </c>
      <c r="S51" s="122">
        <f>'plateau 4'!S10</f>
        <v>142</v>
      </c>
      <c r="T51" s="122">
        <f>'plateau 4'!T10</f>
        <v>256</v>
      </c>
      <c r="U51" s="122" t="str">
        <f>'plateau 4'!U10</f>
        <v>IRG + 26</v>
      </c>
      <c r="V51" s="122" t="str">
        <f>'plateau 4'!V10</f>
        <v>SE M89</v>
      </c>
      <c r="W51" s="122">
        <f>'plateau 4'!W10</f>
        <v>315.72232531891524</v>
      </c>
      <c r="X51" s="82"/>
      <c r="Y51" s="80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</row>
    <row r="52" spans="2:88" s="4" customFormat="1" ht="30" customHeight="1" x14ac:dyDescent="0.25">
      <c r="B52" s="122">
        <f>'plateau 4'!B9</f>
        <v>113</v>
      </c>
      <c r="C52" s="122">
        <f>'plateau 4'!C16</f>
        <v>0</v>
      </c>
      <c r="D52" s="122">
        <f>'plateau 4'!D16</f>
        <v>0</v>
      </c>
      <c r="E52" s="122" t="str">
        <f>'plateau 4'!E16</f>
        <v>H</v>
      </c>
      <c r="F52" s="122" t="str">
        <f>'plateau 4'!F16</f>
        <v>SHOLOMINSKYI</v>
      </c>
      <c r="G52" s="122" t="str">
        <f>'plateau 4'!G16</f>
        <v>Vitalii</v>
      </c>
      <c r="H52" s="122">
        <f>'plateau 4'!H16</f>
        <v>2007</v>
      </c>
      <c r="I52" s="122" t="str">
        <f>'plateau 4'!I16</f>
        <v>Ukraine</v>
      </c>
      <c r="J52" s="122" t="str">
        <f>'plateau 4'!J16</f>
        <v>UKR</v>
      </c>
      <c r="K52" s="122">
        <f>'plateau 4'!K16</f>
        <v>84.55</v>
      </c>
      <c r="L52" s="122">
        <f>'plateau 4'!L16</f>
        <v>105</v>
      </c>
      <c r="M52" s="122">
        <f>'plateau 4'!M16</f>
        <v>112</v>
      </c>
      <c r="N52" s="122">
        <f>'plateau 4'!N16</f>
        <v>118</v>
      </c>
      <c r="O52" s="122">
        <f>'plateau 4'!O16</f>
        <v>118</v>
      </c>
      <c r="P52" s="122">
        <f>'plateau 4'!P16</f>
        <v>120</v>
      </c>
      <c r="Q52" s="122">
        <f>'plateau 4'!Q16</f>
        <v>130</v>
      </c>
      <c r="R52" s="122">
        <f>'plateau 4'!R16</f>
        <v>-140</v>
      </c>
      <c r="S52" s="122">
        <f>'plateau 4'!S16</f>
        <v>130</v>
      </c>
      <c r="T52" s="122">
        <f>'plateau 4'!T16</f>
        <v>248</v>
      </c>
      <c r="U52" s="122" t="str">
        <f>'plateau 4'!U16</f>
        <v>INTB + 3</v>
      </c>
      <c r="V52" s="122" t="str">
        <f>'plateau 4'!V16</f>
        <v>U17 M89</v>
      </c>
      <c r="W52" s="122">
        <f>'plateau 4'!W16</f>
        <v>307.62658155259425</v>
      </c>
      <c r="X52" s="82"/>
      <c r="Y52" s="80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</row>
    <row r="53" spans="2:88" s="4" customFormat="1" ht="30" customHeight="1" x14ac:dyDescent="0.25">
      <c r="B53" s="122">
        <f>'plateau 4'!B10</f>
        <v>114</v>
      </c>
      <c r="C53" s="122">
        <f>'plateau 2'!C10</f>
        <v>0</v>
      </c>
      <c r="D53" s="122">
        <f>'plateau 2'!D10</f>
        <v>0</v>
      </c>
      <c r="E53" s="122" t="str">
        <f>'plateau 2'!E10</f>
        <v>H</v>
      </c>
      <c r="F53" s="122" t="str">
        <f>'plateau 2'!F10</f>
        <v>BARTHELEMY</v>
      </c>
      <c r="G53" s="122" t="str">
        <f>'plateau 2'!G10</f>
        <v>Florent</v>
      </c>
      <c r="H53" s="122">
        <f>'plateau 2'!H10</f>
        <v>2005</v>
      </c>
      <c r="I53" s="122" t="str">
        <f>'plateau 2'!I10</f>
        <v>Pas de Calais</v>
      </c>
      <c r="J53" s="122" t="str">
        <f>'plateau 2'!J10</f>
        <v>FR</v>
      </c>
      <c r="K53" s="122">
        <f>'plateau 2'!K10</f>
        <v>58.55</v>
      </c>
      <c r="L53" s="122">
        <f>'plateau 2'!L10</f>
        <v>70</v>
      </c>
      <c r="M53" s="122">
        <f>'plateau 2'!M10</f>
        <v>75</v>
      </c>
      <c r="N53" s="122">
        <f>'plateau 2'!N10</f>
        <v>80</v>
      </c>
      <c r="O53" s="122">
        <f>'plateau 2'!O10</f>
        <v>80</v>
      </c>
      <c r="P53" s="122">
        <f>'plateau 2'!P10</f>
        <v>-100</v>
      </c>
      <c r="Q53" s="122">
        <f>'plateau 2'!Q10</f>
        <v>100</v>
      </c>
      <c r="R53" s="122">
        <f>'plateau 2'!R10</f>
        <v>-105</v>
      </c>
      <c r="S53" s="122">
        <f>'plateau 2'!S10</f>
        <v>100</v>
      </c>
      <c r="T53" s="122">
        <f>'plateau 2'!T10</f>
        <v>180</v>
      </c>
      <c r="U53" s="122" t="str">
        <f>'plateau 2'!U10</f>
        <v>FED + 10</v>
      </c>
      <c r="V53" s="122" t="str">
        <f>'plateau 2'!V10</f>
        <v>U20 M61</v>
      </c>
      <c r="W53" s="122">
        <f>'plateau 2'!W10</f>
        <v>282.00429830143605</v>
      </c>
      <c r="X53" s="82"/>
      <c r="Y53" s="80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</row>
    <row r="54" spans="2:88" s="4" customFormat="1" ht="30" customHeight="1" x14ac:dyDescent="0.25">
      <c r="B54" s="122">
        <f>'plateau 4'!B11</f>
        <v>115</v>
      </c>
      <c r="C54" s="122">
        <f>'plateau 2'!C14</f>
        <v>0</v>
      </c>
      <c r="D54" s="122">
        <f>'plateau 2'!D14</f>
        <v>0</v>
      </c>
      <c r="E54" s="122" t="str">
        <f>'plateau 2'!E14</f>
        <v>H</v>
      </c>
      <c r="F54" s="122" t="str">
        <f>'plateau 2'!F14</f>
        <v>KUZOVLEV</v>
      </c>
      <c r="G54" s="122" t="str">
        <f>'plateau 2'!G14</f>
        <v>Oleksandr</v>
      </c>
      <c r="H54" s="122">
        <f>'plateau 2'!H14</f>
        <v>2008</v>
      </c>
      <c r="I54" s="122" t="str">
        <f>'plateau 2'!I14</f>
        <v>Ukraine</v>
      </c>
      <c r="J54" s="122" t="str">
        <f>'plateau 2'!J14</f>
        <v>UKR</v>
      </c>
      <c r="K54" s="122">
        <f>'plateau 2'!K14</f>
        <v>73.55</v>
      </c>
      <c r="L54" s="122">
        <f>'plateau 2'!L14</f>
        <v>-90</v>
      </c>
      <c r="M54" s="122">
        <f>'plateau 2'!M14</f>
        <v>90</v>
      </c>
      <c r="N54" s="122">
        <f>'plateau 2'!N14</f>
        <v>93</v>
      </c>
      <c r="O54" s="122">
        <f>'plateau 2'!O14</f>
        <v>93</v>
      </c>
      <c r="P54" s="122">
        <f>'plateau 2'!P14</f>
        <v>110</v>
      </c>
      <c r="Q54" s="122">
        <f>'plateau 2'!Q14</f>
        <v>115</v>
      </c>
      <c r="R54" s="122">
        <f>'plateau 2'!R14</f>
        <v>-120</v>
      </c>
      <c r="S54" s="122">
        <f>'plateau 2'!S14</f>
        <v>115</v>
      </c>
      <c r="T54" s="122">
        <f>'plateau 2'!T14</f>
        <v>208</v>
      </c>
      <c r="U54" s="122" t="str">
        <f>'plateau 2'!U14</f>
        <v>NAT + 18</v>
      </c>
      <c r="V54" s="122" t="str">
        <f>'plateau 2'!V14</f>
        <v>U15 M81</v>
      </c>
      <c r="W54" s="122">
        <f>'plateau 2'!W14</f>
        <v>279.10453225151497</v>
      </c>
      <c r="X54" s="82"/>
      <c r="Y54" s="80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</row>
    <row r="55" spans="2:88" s="4" customFormat="1" ht="30" customHeight="1" x14ac:dyDescent="0.25">
      <c r="B55" s="122">
        <f>'plateau 4'!B12</f>
        <v>116</v>
      </c>
      <c r="C55" s="122">
        <f>'plateau 2'!C11</f>
        <v>0</v>
      </c>
      <c r="D55" s="122">
        <f>'plateau 2'!D11</f>
        <v>0</v>
      </c>
      <c r="E55" s="122" t="str">
        <f>'plateau 2'!E11</f>
        <v>H</v>
      </c>
      <c r="F55" s="122" t="str">
        <f>'plateau 2'!F11</f>
        <v>BEYER</v>
      </c>
      <c r="G55" s="122" t="str">
        <f>'plateau 2'!G11</f>
        <v>Antoine</v>
      </c>
      <c r="H55" s="122">
        <f>'plateau 2'!H11</f>
        <v>1994</v>
      </c>
      <c r="I55" s="122" t="str">
        <f>'plateau 2'!I11</f>
        <v>Comines</v>
      </c>
      <c r="J55" s="122" t="str">
        <f>'plateau 2'!J11</f>
        <v>FR</v>
      </c>
      <c r="K55" s="122">
        <f>'plateau 2'!K11</f>
        <v>68.650000000000006</v>
      </c>
      <c r="L55" s="122">
        <f>'plateau 2'!L11</f>
        <v>88</v>
      </c>
      <c r="M55" s="122">
        <f>'plateau 2'!M11</f>
        <v>92</v>
      </c>
      <c r="N55" s="122">
        <f>'plateau 2'!N11</f>
        <v>-96</v>
      </c>
      <c r="O55" s="122">
        <f>'plateau 2'!O11</f>
        <v>92</v>
      </c>
      <c r="P55" s="122">
        <f>'plateau 2'!P11</f>
        <v>104</v>
      </c>
      <c r="Q55" s="122">
        <f>'plateau 2'!Q11</f>
        <v>107</v>
      </c>
      <c r="R55" s="122">
        <f>'plateau 2'!R11</f>
        <v>-110</v>
      </c>
      <c r="S55" s="122">
        <f>'plateau 2'!S11</f>
        <v>107</v>
      </c>
      <c r="T55" s="122">
        <f>'plateau 2'!T11</f>
        <v>199</v>
      </c>
      <c r="U55" s="122" t="str">
        <f>'plateau 2'!U11</f>
        <v>REG + 14</v>
      </c>
      <c r="V55" s="122" t="str">
        <f>'plateau 2'!V11</f>
        <v>SE M73</v>
      </c>
      <c r="W55" s="122">
        <f>'plateau 2'!W11</f>
        <v>278.86751993276613</v>
      </c>
      <c r="X55" s="82"/>
      <c r="Y55" s="80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</row>
    <row r="56" spans="2:88" s="4" customFormat="1" ht="30" customHeight="1" x14ac:dyDescent="0.25">
      <c r="B56" s="122">
        <f>'plateau 4'!B13</f>
        <v>117</v>
      </c>
      <c r="C56" s="122">
        <f>'plateau 2'!C9</f>
        <v>0</v>
      </c>
      <c r="D56" s="122">
        <f>'plateau 2'!D9</f>
        <v>0</v>
      </c>
      <c r="E56" s="122" t="str">
        <f>'plateau 2'!E9</f>
        <v>H</v>
      </c>
      <c r="F56" s="122" t="str">
        <f>'plateau 2'!F9</f>
        <v>NSEGMA</v>
      </c>
      <c r="G56" s="122" t="str">
        <f>'plateau 2'!G9</f>
        <v>Daniel</v>
      </c>
      <c r="H56" s="122">
        <f>'plateau 2'!H9</f>
        <v>2011</v>
      </c>
      <c r="I56" s="122" t="str">
        <f>'plateau 2'!I9</f>
        <v>Espoir cominois</v>
      </c>
      <c r="J56" s="122" t="str">
        <f>'plateau 2'!J9</f>
        <v>FR</v>
      </c>
      <c r="K56" s="122">
        <f>'plateau 2'!K9</f>
        <v>69.25</v>
      </c>
      <c r="L56" s="122">
        <f>'plateau 2'!L9</f>
        <v>90</v>
      </c>
      <c r="M56" s="122">
        <f>'plateau 2'!M9</f>
        <v>95</v>
      </c>
      <c r="N56" s="122">
        <f>'plateau 2'!N9</f>
        <v>97</v>
      </c>
      <c r="O56" s="122">
        <f>'plateau 2'!O9</f>
        <v>97</v>
      </c>
      <c r="P56" s="122">
        <f>'plateau 2'!P9</f>
        <v>100</v>
      </c>
      <c r="Q56" s="122">
        <f>'plateau 2'!Q9</f>
        <v>-105</v>
      </c>
      <c r="R56" s="122">
        <f>'plateau 2'!R9</f>
        <v>-110</v>
      </c>
      <c r="S56" s="122">
        <f>'plateau 2'!S9</f>
        <v>100</v>
      </c>
      <c r="T56" s="122">
        <f>'plateau 2'!T9</f>
        <v>197</v>
      </c>
      <c r="U56" s="122" t="e">
        <f>'plateau 2'!U9</f>
        <v>#N/A</v>
      </c>
      <c r="V56" s="122" t="str">
        <f>'plateau 2'!V9</f>
        <v>NON</v>
      </c>
      <c r="W56" s="122">
        <f>'plateau 2'!W9</f>
        <v>274.5121105872276</v>
      </c>
      <c r="X56" s="82"/>
      <c r="Y56" s="80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</row>
    <row r="57" spans="2:88" s="4" customFormat="1" ht="30" customHeight="1" x14ac:dyDescent="0.25">
      <c r="B57" s="122">
        <f>'plateau 4'!B14</f>
        <v>118</v>
      </c>
      <c r="C57" s="122">
        <f>'plateau 2'!C12</f>
        <v>0</v>
      </c>
      <c r="D57" s="122">
        <f>'plateau 2'!D12</f>
        <v>0</v>
      </c>
      <c r="E57" s="122" t="str">
        <f>'plateau 2'!E12</f>
        <v>H</v>
      </c>
      <c r="F57" s="122" t="str">
        <f>'plateau 2'!F12</f>
        <v>GELE</v>
      </c>
      <c r="G57" s="122" t="str">
        <f>'plateau 2'!G12</f>
        <v>Ulysse</v>
      </c>
      <c r="H57" s="122">
        <f>'plateau 2'!H12</f>
        <v>2006</v>
      </c>
      <c r="I57" s="122" t="str">
        <f>'plateau 2'!I12</f>
        <v>Pas de Calais</v>
      </c>
      <c r="J57" s="122" t="str">
        <f>'plateau 2'!J12</f>
        <v>FR</v>
      </c>
      <c r="K57" s="122">
        <f>'plateau 2'!K12</f>
        <v>75.650000000000006</v>
      </c>
      <c r="L57" s="122">
        <f>'plateau 2'!L12</f>
        <v>88</v>
      </c>
      <c r="M57" s="122">
        <f>'plateau 2'!M12</f>
        <v>-91</v>
      </c>
      <c r="N57" s="122">
        <f>'plateau 2'!N12</f>
        <v>-92</v>
      </c>
      <c r="O57" s="122">
        <f>'plateau 2'!O12</f>
        <v>88</v>
      </c>
      <c r="P57" s="122">
        <f>'plateau 2'!P12</f>
        <v>105</v>
      </c>
      <c r="Q57" s="122">
        <f>'plateau 2'!Q12</f>
        <v>-109</v>
      </c>
      <c r="R57" s="122">
        <f>'plateau 2'!R12</f>
        <v>-109</v>
      </c>
      <c r="S57" s="122">
        <f>'plateau 2'!S12</f>
        <v>105</v>
      </c>
      <c r="T57" s="122">
        <f>'plateau 2'!T12</f>
        <v>193</v>
      </c>
      <c r="U57" s="122" t="str">
        <f>'plateau 2'!U12</f>
        <v>FED + 3</v>
      </c>
      <c r="V57" s="122" t="str">
        <f>'plateau 2'!V12</f>
        <v>U17 M81</v>
      </c>
      <c r="W57" s="122">
        <f>'plateau 2'!W12</f>
        <v>254.64786091501816</v>
      </c>
      <c r="X57" s="82"/>
      <c r="Y57" s="80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</row>
    <row r="58" spans="2:88" s="4" customFormat="1" ht="30" customHeight="1" x14ac:dyDescent="0.25">
      <c r="B58" s="122">
        <f>'plateau 4'!B15</f>
        <v>119</v>
      </c>
      <c r="C58" s="122">
        <f>'plateau 2'!C13</f>
        <v>0</v>
      </c>
      <c r="D58" s="122">
        <f>'plateau 2'!D13</f>
        <v>0</v>
      </c>
      <c r="E58" s="122" t="str">
        <f>'plateau 2'!E13</f>
        <v>H</v>
      </c>
      <c r="F58" s="122" t="str">
        <f>'plateau 2'!F13</f>
        <v>WELLING</v>
      </c>
      <c r="G58" s="122" t="str">
        <f>'plateau 2'!G13</f>
        <v>Jonas</v>
      </c>
      <c r="H58" s="122">
        <f>'plateau 2'!H13</f>
        <v>2007</v>
      </c>
      <c r="I58" s="122" t="str">
        <f>'plateau 2'!I13</f>
        <v>Waalsport Hollande</v>
      </c>
      <c r="J58" s="122" t="str">
        <f>'plateau 2'!J13</f>
        <v>HOL</v>
      </c>
      <c r="K58" s="122">
        <f>'plateau 2'!K13</f>
        <v>79.55</v>
      </c>
      <c r="L58" s="122">
        <f>'plateau 2'!L13</f>
        <v>85</v>
      </c>
      <c r="M58" s="122">
        <f>'plateau 2'!M13</f>
        <v>89</v>
      </c>
      <c r="N58" s="122">
        <f>'plateau 2'!N13</f>
        <v>-92</v>
      </c>
      <c r="O58" s="122">
        <f>'plateau 2'!O13</f>
        <v>89</v>
      </c>
      <c r="P58" s="122">
        <f>'plateau 2'!P13</f>
        <v>100</v>
      </c>
      <c r="Q58" s="122">
        <f>'plateau 2'!Q13</f>
        <v>-105</v>
      </c>
      <c r="R58" s="122">
        <f>'plateau 2'!R13</f>
        <v>-108</v>
      </c>
      <c r="S58" s="122">
        <f>'plateau 2'!S13</f>
        <v>100</v>
      </c>
      <c r="T58" s="122">
        <f>'plateau 2'!T13</f>
        <v>189</v>
      </c>
      <c r="U58" s="122" t="str">
        <f>'plateau 2'!U13</f>
        <v>IRG + 19</v>
      </c>
      <c r="V58" s="122" t="str">
        <f>'plateau 2'!V13</f>
        <v>U17 M81</v>
      </c>
      <c r="W58" s="122">
        <f>'plateau 2'!W13</f>
        <v>242.27567346651139</v>
      </c>
      <c r="X58" s="82"/>
      <c r="Y58" s="80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</row>
    <row r="59" spans="2:88" s="4" customFormat="1" ht="30" customHeight="1" x14ac:dyDescent="0.25">
      <c r="B59" s="122">
        <f>'plateau 4'!B16</f>
        <v>120</v>
      </c>
      <c r="C59" s="122">
        <f>'plateau 2'!C8</f>
        <v>0</v>
      </c>
      <c r="D59" s="122">
        <f>'plateau 2'!D8</f>
        <v>0</v>
      </c>
      <c r="E59" s="122" t="str">
        <f>'plateau 2'!E8</f>
        <v>H</v>
      </c>
      <c r="F59" s="122" t="str">
        <f>'plateau 2'!F8</f>
        <v>DEHANE</v>
      </c>
      <c r="G59" s="122" t="str">
        <f>'plateau 2'!G8</f>
        <v>Raphael</v>
      </c>
      <c r="H59" s="122">
        <f>'plateau 2'!H8</f>
        <v>2007</v>
      </c>
      <c r="I59" s="122" t="str">
        <f>'plateau 2'!I8</f>
        <v>Espoir cominois</v>
      </c>
      <c r="J59" s="122" t="str">
        <f>'plateau 2'!J8</f>
        <v>FR</v>
      </c>
      <c r="K59" s="122">
        <f>'plateau 2'!K8</f>
        <v>63.75</v>
      </c>
      <c r="L59" s="122">
        <f>'plateau 2'!L8</f>
        <v>60</v>
      </c>
      <c r="M59" s="122">
        <f>'plateau 2'!M8</f>
        <v>65</v>
      </c>
      <c r="N59" s="122">
        <f>'plateau 2'!N8</f>
        <v>-71</v>
      </c>
      <c r="O59" s="122">
        <f>'plateau 2'!O8</f>
        <v>65</v>
      </c>
      <c r="P59" s="122">
        <f>'plateau 2'!P8</f>
        <v>85</v>
      </c>
      <c r="Q59" s="122">
        <f>'plateau 2'!Q8</f>
        <v>90</v>
      </c>
      <c r="R59" s="122">
        <f>'plateau 2'!R8</f>
        <v>-95</v>
      </c>
      <c r="S59" s="122">
        <f>'plateau 2'!S8</f>
        <v>90</v>
      </c>
      <c r="T59" s="122">
        <f>'plateau 2'!T8</f>
        <v>155</v>
      </c>
      <c r="U59" s="122" t="str">
        <f>'plateau 2'!U8</f>
        <v>IRG + 5</v>
      </c>
      <c r="V59" s="122" t="str">
        <f>'plateau 2'!V8</f>
        <v>U17 M67</v>
      </c>
      <c r="W59" s="122">
        <f>'plateau 2'!W8</f>
        <v>228.32697233646488</v>
      </c>
      <c r="X59" s="82"/>
      <c r="Y59" s="80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</row>
    <row r="60" spans="2:88" s="4" customFormat="1" ht="30" customHeight="1" x14ac:dyDescent="0.25">
      <c r="B60" s="122">
        <f>'plateau 4'!B17</f>
        <v>121</v>
      </c>
      <c r="C60" s="122">
        <f>'plateau 4'!C13</f>
        <v>0</v>
      </c>
      <c r="D60" s="122">
        <f>'plateau 4'!D13</f>
        <v>0</v>
      </c>
      <c r="E60" s="122" t="str">
        <f>'plateau 4'!E13</f>
        <v>H</v>
      </c>
      <c r="F60" s="122" t="str">
        <f>'plateau 4'!F13</f>
        <v>WILL</v>
      </c>
      <c r="G60" s="122" t="str">
        <f>'plateau 4'!G13</f>
        <v>Said</v>
      </c>
      <c r="H60" s="122">
        <f>'plateau 4'!H13</f>
        <v>1999</v>
      </c>
      <c r="I60" s="122" t="str">
        <f>'plateau 4'!I13</f>
        <v>USA</v>
      </c>
      <c r="J60" s="122" t="str">
        <f>'plateau 4'!J13</f>
        <v>USA</v>
      </c>
      <c r="K60" s="122">
        <f>'plateau 4'!K13</f>
        <v>96.75</v>
      </c>
      <c r="L60" s="122">
        <f>'plateau 4'!L13</f>
        <v>-120</v>
      </c>
      <c r="M60" s="122">
        <f>'plateau 4'!M13</f>
        <v>-120</v>
      </c>
      <c r="N60" s="122">
        <f>'plateau 4'!N13</f>
        <v>-120</v>
      </c>
      <c r="O60" s="122">
        <f>'plateau 4'!O13</f>
        <v>0</v>
      </c>
      <c r="P60" s="122">
        <f>'plateau 4'!P13</f>
        <v>150</v>
      </c>
      <c r="Q60" s="122">
        <f>'plateau 4'!Q13</f>
        <v>157</v>
      </c>
      <c r="R60" s="122">
        <f>'plateau 4'!R13</f>
        <v>-161</v>
      </c>
      <c r="S60" s="122">
        <f>'plateau 4'!S13</f>
        <v>157</v>
      </c>
      <c r="T60" s="122">
        <f>'plateau 4'!T13</f>
        <v>157</v>
      </c>
      <c r="U60" s="122" t="str">
        <f>'plateau 4'!U13</f>
        <v>DEB -3</v>
      </c>
      <c r="V60" s="122" t="str">
        <f>'plateau 4'!V13</f>
        <v>SE M102</v>
      </c>
      <c r="W60" s="122">
        <f>'plateau 4'!W13</f>
        <v>182.60059127730221</v>
      </c>
      <c r="X60" s="82"/>
      <c r="Y60" s="80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</row>
    <row r="61" spans="2:88" s="4" customFormat="1" ht="30" customHeight="1" x14ac:dyDescent="0.25">
      <c r="B61" s="122">
        <f>'plateau 4'!B18</f>
        <v>122</v>
      </c>
      <c r="C61" s="122">
        <f>'plateau 2'!C7</f>
        <v>0</v>
      </c>
      <c r="D61" s="122">
        <f>'plateau 2'!D7</f>
        <v>0</v>
      </c>
      <c r="E61" s="122" t="str">
        <f>'plateau 2'!E7</f>
        <v>H</v>
      </c>
      <c r="F61" s="122" t="str">
        <f>'plateau 2'!F7</f>
        <v>BOUKHARTA</v>
      </c>
      <c r="G61" s="122" t="str">
        <f>'plateau 2'!G7</f>
        <v>Zakaria</v>
      </c>
      <c r="H61" s="122">
        <f>'plateau 2'!H7</f>
        <v>2010</v>
      </c>
      <c r="I61" s="122" t="str">
        <f>'plateau 2'!I7</f>
        <v>Cle Amiens</v>
      </c>
      <c r="J61" s="122" t="str">
        <f>'plateau 2'!J7</f>
        <v>FR</v>
      </c>
      <c r="K61" s="122">
        <f>'plateau 2'!K7</f>
        <v>58.55</v>
      </c>
      <c r="L61" s="122">
        <f>'plateau 2'!L7</f>
        <v>-75</v>
      </c>
      <c r="M61" s="122">
        <f>'plateau 2'!M7</f>
        <v>-75</v>
      </c>
      <c r="N61" s="122">
        <f>'plateau 2'!N7</f>
        <v>-75</v>
      </c>
      <c r="O61" s="122">
        <f>'plateau 2'!O7</f>
        <v>0</v>
      </c>
      <c r="P61" s="122">
        <f>'plateau 2'!P7</f>
        <v>-80</v>
      </c>
      <c r="Q61" s="122">
        <f>'plateau 2'!Q7</f>
        <v>80</v>
      </c>
      <c r="R61" s="122">
        <f>'plateau 2'!R7</f>
        <v>0</v>
      </c>
      <c r="S61" s="122">
        <f>'plateau 2'!S7</f>
        <v>80</v>
      </c>
      <c r="T61" s="122">
        <f>'plateau 2'!T7</f>
        <v>80</v>
      </c>
      <c r="U61" s="122" t="e">
        <f>'plateau 2'!U7</f>
        <v>#N/A</v>
      </c>
      <c r="V61" s="122" t="str">
        <f>'plateau 2'!V7</f>
        <v>NON</v>
      </c>
      <c r="W61" s="122">
        <f>'plateau 2'!W7</f>
        <v>125.33524368952713</v>
      </c>
      <c r="X61" s="82"/>
      <c r="Y61" s="80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</row>
    <row r="62" spans="2:88" s="4" customFormat="1" ht="30" customHeight="1" x14ac:dyDescent="0.25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82"/>
      <c r="Y62" s="80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</row>
    <row r="63" spans="2:88" s="4" customFormat="1" ht="30" customHeight="1" x14ac:dyDescent="0.25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82"/>
      <c r="Y63" s="80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</row>
    <row r="64" spans="2:88" ht="24" customHeight="1" x14ac:dyDescent="0.25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58"/>
    </row>
    <row r="65" spans="2:23" ht="24" customHeight="1" x14ac:dyDescent="0.25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</row>
    <row r="66" spans="2:23" ht="22.95" customHeight="1" x14ac:dyDescent="0.25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</row>
  </sheetData>
  <sortState xmlns:xlrd2="http://schemas.microsoft.com/office/spreadsheetml/2017/richdata2" ref="C40:W61">
    <sortCondition descending="1" ref="W40:W61"/>
  </sortState>
  <mergeCells count="6">
    <mergeCell ref="B39:W39"/>
    <mergeCell ref="D2:W2"/>
    <mergeCell ref="D3:K3"/>
    <mergeCell ref="N3:S3"/>
    <mergeCell ref="V3:W3"/>
    <mergeCell ref="B7:W7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9" scale="62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1"/>
  <sheetViews>
    <sheetView zoomScale="82" workbookViewId="0">
      <selection activeCell="J7" sqref="J7"/>
    </sheetView>
  </sheetViews>
  <sheetFormatPr baseColWidth="10" defaultRowHeight="13.2" x14ac:dyDescent="0.25"/>
  <cols>
    <col min="1" max="1" width="58.44140625" bestFit="1" customWidth="1"/>
    <col min="2" max="2" width="13.44140625" customWidth="1"/>
    <col min="3" max="3" width="14.77734375" bestFit="1" customWidth="1"/>
    <col min="4" max="4" width="17.109375" bestFit="1" customWidth="1"/>
  </cols>
  <sheetData>
    <row r="1" spans="1:7" ht="33.6" x14ac:dyDescent="0.65">
      <c r="A1" s="369" t="s">
        <v>275</v>
      </c>
      <c r="B1" s="369"/>
      <c r="C1" s="369"/>
      <c r="D1" s="369"/>
      <c r="E1" s="369"/>
      <c r="F1" s="369"/>
      <c r="G1" s="369"/>
    </row>
    <row r="2" spans="1:7" ht="33.6" x14ac:dyDescent="0.65">
      <c r="A2" s="370">
        <v>46193</v>
      </c>
      <c r="B2" s="370"/>
      <c r="C2" s="370"/>
      <c r="D2" s="370"/>
      <c r="E2" s="370"/>
      <c r="F2" s="370"/>
      <c r="G2" s="370"/>
    </row>
    <row r="3" spans="1:7" x14ac:dyDescent="0.25">
      <c r="D3" s="185"/>
      <c r="E3" s="185"/>
    </row>
    <row r="4" spans="1:7" x14ac:dyDescent="0.25">
      <c r="C4" s="185"/>
      <c r="D4" s="185"/>
      <c r="E4" s="185"/>
    </row>
    <row r="5" spans="1:7" x14ac:dyDescent="0.25">
      <c r="C5" s="185"/>
      <c r="D5" s="185"/>
      <c r="E5" s="185"/>
    </row>
    <row r="7" spans="1:7" ht="13.8" thickBot="1" x14ac:dyDescent="0.3"/>
    <row r="8" spans="1:7" ht="13.8" thickBot="1" x14ac:dyDescent="0.3">
      <c r="B8" s="258" t="s">
        <v>149</v>
      </c>
      <c r="C8" s="259"/>
      <c r="D8" s="260" t="s">
        <v>150</v>
      </c>
    </row>
    <row r="9" spans="1:7" ht="20.399999999999999" x14ac:dyDescent="0.35">
      <c r="A9" s="328" t="str">
        <f>Equipe!I64</f>
        <v>Belgique 1</v>
      </c>
      <c r="B9" s="329">
        <f>Equipe!S68</f>
        <v>1505.4610250038706</v>
      </c>
      <c r="C9" s="330" t="s">
        <v>144</v>
      </c>
      <c r="D9" s="331">
        <f t="shared" ref="D9:D20" si="0">RANK(B9,$B$9:$B$20)</f>
        <v>1</v>
      </c>
    </row>
    <row r="10" spans="1:7" ht="20.399999999999999" x14ac:dyDescent="0.35">
      <c r="A10" s="332" t="str">
        <f>Equipe!I8</f>
        <v>Nord</v>
      </c>
      <c r="B10" s="326">
        <f>Equipe!S12</f>
        <v>1316.3838528800557</v>
      </c>
      <c r="C10" s="327" t="s">
        <v>144</v>
      </c>
      <c r="D10" s="333">
        <f t="shared" si="0"/>
        <v>2</v>
      </c>
    </row>
    <row r="11" spans="1:7" ht="20.399999999999999" x14ac:dyDescent="0.35">
      <c r="A11" s="332" t="str">
        <f>Equipe!I96</f>
        <v>Waalsport Hollande</v>
      </c>
      <c r="B11" s="326">
        <f>Equipe!S100</f>
        <v>1279.05224628155</v>
      </c>
      <c r="C11" s="327" t="s">
        <v>144</v>
      </c>
      <c r="D11" s="333">
        <f t="shared" si="0"/>
        <v>3</v>
      </c>
    </row>
    <row r="12" spans="1:7" ht="20.399999999999999" x14ac:dyDescent="0.35">
      <c r="A12" s="332" t="str">
        <f>Equipe!I72</f>
        <v>Comines</v>
      </c>
      <c r="B12" s="326">
        <f>Equipe!S76</f>
        <v>1275.7311259530065</v>
      </c>
      <c r="C12" s="327" t="s">
        <v>144</v>
      </c>
      <c r="D12" s="333">
        <f t="shared" si="0"/>
        <v>4</v>
      </c>
    </row>
    <row r="13" spans="1:7" ht="20.399999999999999" x14ac:dyDescent="0.35">
      <c r="A13" s="332" t="str">
        <f>Equipe!I40</f>
        <v>Franconville</v>
      </c>
      <c r="B13" s="326">
        <f>Equipe!S44</f>
        <v>1275.0159299311144</v>
      </c>
      <c r="C13" s="327" t="s">
        <v>144</v>
      </c>
      <c r="D13" s="333">
        <f t="shared" si="0"/>
        <v>5</v>
      </c>
    </row>
    <row r="14" spans="1:7" ht="20.399999999999999" x14ac:dyDescent="0.35">
      <c r="A14" s="332" t="str">
        <f>Equipe!I16</f>
        <v>Sélection France</v>
      </c>
      <c r="B14" s="326">
        <f>Equipe!S20</f>
        <v>1226.9480364549672</v>
      </c>
      <c r="C14" s="327" t="s">
        <v>144</v>
      </c>
      <c r="D14" s="333">
        <f t="shared" si="0"/>
        <v>6</v>
      </c>
    </row>
    <row r="15" spans="1:7" ht="20.399999999999999" x14ac:dyDescent="0.35">
      <c r="A15" s="332" t="str">
        <f>Equipe!I80</f>
        <v>Ukraine</v>
      </c>
      <c r="B15" s="326">
        <f>Equipe!S84</f>
        <v>1184.0878764712836</v>
      </c>
      <c r="C15" s="327" t="s">
        <v>144</v>
      </c>
      <c r="D15" s="333">
        <f t="shared" si="0"/>
        <v>7</v>
      </c>
    </row>
    <row r="16" spans="1:7" ht="20.399999999999999" x14ac:dyDescent="0.35">
      <c r="A16" s="332" t="str">
        <f>Equipe!I24</f>
        <v>Pas de Calais</v>
      </c>
      <c r="B16" s="326">
        <f>Equipe!S28</f>
        <v>1139.1417715750945</v>
      </c>
      <c r="C16" s="327" t="s">
        <v>144</v>
      </c>
      <c r="D16" s="333">
        <f t="shared" si="0"/>
        <v>8</v>
      </c>
    </row>
    <row r="17" spans="1:4" ht="20.399999999999999" x14ac:dyDescent="0.35">
      <c r="A17" s="332" t="str">
        <f>Equipe!I57</f>
        <v xml:space="preserve">Belgique 2 </v>
      </c>
      <c r="B17" s="326">
        <f>Equipe!S60</f>
        <v>1017.577320032456</v>
      </c>
      <c r="C17" s="327" t="s">
        <v>144</v>
      </c>
      <c r="D17" s="333">
        <f t="shared" si="0"/>
        <v>9</v>
      </c>
    </row>
    <row r="18" spans="1:4" ht="20.399999999999999" x14ac:dyDescent="0.35">
      <c r="A18" s="332" t="str">
        <f>Equipe!I48</f>
        <v>Irlande</v>
      </c>
      <c r="B18" s="326">
        <f>Equipe!S52</f>
        <v>986.37814305854886</v>
      </c>
      <c r="C18" s="327" t="s">
        <v>144</v>
      </c>
      <c r="D18" s="333">
        <f t="shared" si="0"/>
        <v>10</v>
      </c>
    </row>
    <row r="19" spans="1:4" ht="20.399999999999999" x14ac:dyDescent="0.35">
      <c r="A19" s="332" t="str">
        <f>Equipe!I32</f>
        <v>Cle Amiens</v>
      </c>
      <c r="B19" s="326">
        <f>Equipe!S36</f>
        <v>936.723309188553</v>
      </c>
      <c r="C19" s="327" t="s">
        <v>144</v>
      </c>
      <c r="D19" s="333">
        <f t="shared" si="0"/>
        <v>11</v>
      </c>
    </row>
    <row r="20" spans="1:4" ht="20.399999999999999" x14ac:dyDescent="0.35">
      <c r="A20" s="332" t="str">
        <f>Equipe!I88</f>
        <v>Espoir cominois</v>
      </c>
      <c r="B20" s="326">
        <f>Equipe!S92</f>
        <v>739.95318573268219</v>
      </c>
      <c r="C20" s="327" t="s">
        <v>144</v>
      </c>
      <c r="D20" s="333">
        <f t="shared" si="0"/>
        <v>12</v>
      </c>
    </row>
    <row r="21" spans="1:4" ht="21" thickBot="1" x14ac:dyDescent="0.4">
      <c r="A21" s="257"/>
      <c r="B21" s="334"/>
      <c r="C21" s="335"/>
      <c r="D21" s="336"/>
    </row>
  </sheetData>
  <sortState xmlns:xlrd2="http://schemas.microsoft.com/office/spreadsheetml/2017/richdata2" ref="A9:D21">
    <sortCondition ref="D9:D21"/>
  </sortState>
  <mergeCells count="2">
    <mergeCell ref="A1:G1"/>
    <mergeCell ref="A2:G2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A102"/>
  <sheetViews>
    <sheetView tabSelected="1" zoomScale="87" zoomScaleNormal="87" zoomScaleSheetLayoutView="100" workbookViewId="0">
      <selection activeCell="C13" sqref="C13"/>
    </sheetView>
  </sheetViews>
  <sheetFormatPr baseColWidth="10" defaultColWidth="11.44140625" defaultRowHeight="15.6" x14ac:dyDescent="0.25"/>
  <cols>
    <col min="1" max="1" width="1.6640625" style="1" customWidth="1"/>
    <col min="2" max="2" width="5.6640625" style="1" customWidth="1"/>
    <col min="3" max="3" width="9.6640625" style="1" customWidth="1"/>
    <col min="4" max="4" width="6.6640625" style="73" customWidth="1"/>
    <col min="5" max="5" width="6.6640625" style="1" customWidth="1"/>
    <col min="6" max="6" width="23.88671875" style="1" customWidth="1"/>
    <col min="7" max="7" width="50.6640625" style="1" customWidth="1"/>
    <col min="8" max="8" width="8" style="61" customWidth="1"/>
    <col min="9" max="9" width="34.5546875" style="66" customWidth="1"/>
    <col min="10" max="10" width="7.33203125" style="2" bestFit="1" customWidth="1"/>
    <col min="11" max="11" width="8.6640625" style="59" customWidth="1"/>
    <col min="12" max="13" width="9.33203125" style="1" customWidth="1"/>
    <col min="14" max="14" width="14" style="1" customWidth="1"/>
    <col min="15" max="15" width="12.33203125" style="3" customWidth="1"/>
    <col min="16" max="16" width="12.5546875" style="1" customWidth="1"/>
    <col min="17" max="18" width="9.33203125" style="1" customWidth="1"/>
    <col min="19" max="20" width="9.33203125" style="3" customWidth="1"/>
    <col min="21" max="21" width="11.6640625" style="68" customWidth="1"/>
    <col min="22" max="22" width="12" style="69" customWidth="1"/>
    <col min="23" max="23" width="11.33203125" style="1" customWidth="1"/>
    <col min="24" max="24" width="20.6640625" style="3" customWidth="1"/>
    <col min="25" max="25" width="41" style="3" hidden="1" customWidth="1"/>
    <col min="26" max="88" width="11.44140625" style="22"/>
    <col min="89" max="16384" width="11.44140625" style="1"/>
  </cols>
  <sheetData>
    <row r="1" spans="1:105" ht="5.0999999999999996" customHeight="1" x14ac:dyDescent="0.25"/>
    <row r="2" spans="1:105" s="7" customFormat="1" ht="30" customHeight="1" x14ac:dyDescent="0.25">
      <c r="D2" s="346" t="s">
        <v>127</v>
      </c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8"/>
      <c r="X2" s="55"/>
      <c r="Y2" s="55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</row>
    <row r="3" spans="1:105" s="7" customFormat="1" ht="30" customHeight="1" x14ac:dyDescent="0.25">
      <c r="D3" s="355" t="s">
        <v>139</v>
      </c>
      <c r="E3" s="349"/>
      <c r="F3" s="349"/>
      <c r="G3" s="349"/>
      <c r="H3" s="349"/>
      <c r="I3" s="349"/>
      <c r="J3" s="349"/>
      <c r="K3" s="349"/>
      <c r="L3" s="63"/>
      <c r="M3" s="63"/>
      <c r="N3" s="349" t="s">
        <v>128</v>
      </c>
      <c r="O3" s="349"/>
      <c r="P3" s="349"/>
      <c r="Q3" s="349"/>
      <c r="R3" s="349"/>
      <c r="S3" s="349"/>
      <c r="T3" s="63"/>
      <c r="U3" s="70"/>
      <c r="V3" s="379">
        <v>45829</v>
      </c>
      <c r="W3" s="380"/>
      <c r="X3" s="55"/>
      <c r="Y3" s="55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</row>
    <row r="4" spans="1:105" s="6" customFormat="1" ht="9.9" customHeight="1" x14ac:dyDescent="0.25">
      <c r="A4" s="5"/>
      <c r="B4" s="11"/>
      <c r="C4" s="5"/>
      <c r="D4" s="74"/>
      <c r="E4" s="12"/>
      <c r="F4" s="12"/>
      <c r="G4" s="13"/>
      <c r="H4" s="62"/>
      <c r="I4" s="67"/>
      <c r="J4" s="14"/>
      <c r="K4" s="60"/>
      <c r="L4" s="15"/>
      <c r="M4" s="15"/>
      <c r="N4" s="15"/>
      <c r="O4" s="16"/>
      <c r="P4" s="15"/>
      <c r="Q4" s="15"/>
      <c r="R4" s="15"/>
      <c r="S4" s="16"/>
      <c r="T4" s="16"/>
      <c r="U4" s="71"/>
      <c r="V4" s="72"/>
      <c r="W4" s="13"/>
      <c r="X4" s="56"/>
      <c r="Y4" s="56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</row>
    <row r="5" spans="1:105" s="10" customFormat="1" ht="18" customHeight="1" x14ac:dyDescent="0.25">
      <c r="A5" s="9"/>
      <c r="B5" s="90" t="s">
        <v>134</v>
      </c>
      <c r="C5" s="83" t="s">
        <v>6</v>
      </c>
      <c r="D5" s="91" t="s">
        <v>132</v>
      </c>
      <c r="E5" s="83" t="s">
        <v>24</v>
      </c>
      <c r="F5" s="83"/>
      <c r="G5" s="83" t="s">
        <v>138</v>
      </c>
      <c r="H5" s="83"/>
      <c r="I5" s="84" t="s">
        <v>7</v>
      </c>
      <c r="J5" s="85" t="s">
        <v>0</v>
      </c>
      <c r="K5" s="85" t="s">
        <v>9</v>
      </c>
      <c r="L5" s="83" t="s">
        <v>10</v>
      </c>
      <c r="M5" s="83" t="s">
        <v>1</v>
      </c>
      <c r="N5" s="83" t="s">
        <v>2</v>
      </c>
      <c r="O5" s="85" t="s">
        <v>5</v>
      </c>
      <c r="P5" s="86" t="s">
        <v>3</v>
      </c>
      <c r="Q5" s="381"/>
      <c r="R5" s="382"/>
      <c r="S5" s="382"/>
      <c r="T5" s="382"/>
      <c r="U5" s="382"/>
      <c r="V5" s="382"/>
      <c r="W5" s="382"/>
      <c r="X5" s="64"/>
      <c r="Y5" s="64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</row>
    <row r="6" spans="1:105" s="6" customFormat="1" ht="5.0999999999999996" customHeight="1" thickBot="1" x14ac:dyDescent="0.3">
      <c r="A6" s="5"/>
      <c r="B6" s="92"/>
      <c r="C6" s="93"/>
      <c r="D6" s="94"/>
      <c r="E6" s="95"/>
      <c r="F6" s="95"/>
      <c r="G6" s="96"/>
      <c r="H6" s="97"/>
      <c r="I6" s="98"/>
      <c r="J6" s="99"/>
      <c r="K6" s="100"/>
      <c r="L6" s="101"/>
      <c r="M6" s="101"/>
      <c r="N6" s="101"/>
      <c r="O6" s="102"/>
      <c r="P6" s="101"/>
      <c r="Q6" s="101"/>
      <c r="R6" s="101"/>
      <c r="S6" s="102"/>
      <c r="T6" s="102"/>
      <c r="U6" s="103"/>
      <c r="V6" s="103"/>
      <c r="W6" s="104"/>
      <c r="X6" s="56"/>
      <c r="Y6" s="56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</row>
    <row r="7" spans="1:105" ht="16.2" thickBot="1" x14ac:dyDescent="0.3">
      <c r="B7" s="159" t="s">
        <v>146</v>
      </c>
      <c r="C7" s="160"/>
      <c r="D7" s="160" t="s">
        <v>147</v>
      </c>
      <c r="E7" s="160"/>
      <c r="F7" s="160"/>
      <c r="G7" s="161" t="s">
        <v>140</v>
      </c>
      <c r="H7" s="162"/>
      <c r="I7" s="163"/>
      <c r="J7" s="164"/>
      <c r="K7" s="165"/>
      <c r="L7" s="160"/>
      <c r="M7" s="160"/>
      <c r="N7" s="160"/>
      <c r="O7" s="161"/>
      <c r="P7" s="160"/>
      <c r="Q7" s="160"/>
      <c r="R7" s="161"/>
      <c r="S7" s="161" t="s">
        <v>143</v>
      </c>
      <c r="T7" s="161"/>
      <c r="U7" s="166"/>
      <c r="V7" s="167"/>
      <c r="W7" s="168"/>
    </row>
    <row r="8" spans="1:105" ht="16.2" thickBot="1" x14ac:dyDescent="0.3">
      <c r="B8" s="169"/>
      <c r="C8" s="145">
        <v>1</v>
      </c>
      <c r="D8" s="145">
        <f>IF(C8="","",VLOOKUP($C8,'individuel,'!$B$8:$W$60,3))</f>
        <v>0</v>
      </c>
      <c r="E8" s="145" t="str">
        <f>IF(C8="","",VLOOKUP($C8,'individuel,'!$B$8:$W$60,4))</f>
        <v>f</v>
      </c>
      <c r="F8" s="145" t="str">
        <f>IF(C8="","",VLOOKUP($C8,'individuel,'!$B$8:$W$60,5))</f>
        <v>RICHEZ</v>
      </c>
      <c r="G8" s="145" t="str">
        <f>IF(C8="","",VLOOKUP($C8,'individuel,'!$B$8:$W$60,6))</f>
        <v>Albane</v>
      </c>
      <c r="H8" s="145">
        <f>IF(C8="","",VLOOKUP($C8,'individuel,'!$B$8:$W$60,7))</f>
        <v>2008</v>
      </c>
      <c r="I8" s="146" t="str">
        <f>IF(C8="","",VLOOKUP($C8,'individuel,'!$B$8:$W$60,8))</f>
        <v>Nord</v>
      </c>
      <c r="J8" s="146" t="str">
        <f>IF(C8="","",VLOOKUP($C8,'individuel,'!$B$8:$W$60,9))</f>
        <v>FR</v>
      </c>
      <c r="K8" s="145">
        <f>IF(C8="","",VLOOKUP($C8,'individuel,'!$B$8:$W$60,14))</f>
        <v>54</v>
      </c>
      <c r="L8" s="145">
        <f>IF(C8="","",VLOOKUP($C8,'individuel,'!$B$8:$W$60,18))</f>
        <v>68</v>
      </c>
      <c r="M8" s="280">
        <f>IF(C8="","",VLOOKUP($C8,'individuel,'!$B$8:$W$60,19))</f>
        <v>122</v>
      </c>
      <c r="N8" s="145"/>
      <c r="O8" s="145"/>
      <c r="P8" s="284">
        <f>IF(C8="","",VLOOKUP($C8,'individuel,'!$B$8:$W$60,22))</f>
        <v>164.24755597365228</v>
      </c>
      <c r="Q8" s="170"/>
      <c r="R8" s="170"/>
      <c r="S8" s="148">
        <f t="shared" ref="S8:S10" si="0">IF(C8="","",IF(E8="h",P8,P8*1.5))</f>
        <v>246.37133396047841</v>
      </c>
      <c r="T8" s="149" t="s">
        <v>144</v>
      </c>
      <c r="U8" s="171"/>
      <c r="V8" s="150"/>
      <c r="W8" s="172"/>
    </row>
    <row r="9" spans="1:105" ht="16.2" thickBot="1" x14ac:dyDescent="0.3">
      <c r="B9" s="169"/>
      <c r="C9" s="145">
        <v>15</v>
      </c>
      <c r="D9" s="145">
        <f>IF(C9="","",VLOOKUP($C9,'individuel,'!$B$8:$W$60,3))</f>
        <v>0</v>
      </c>
      <c r="E9" s="145" t="str">
        <f>IF(C9="","",VLOOKUP($C9,'individuel,'!$B$8:$W$60,4))</f>
        <v>F</v>
      </c>
      <c r="F9" s="145" t="str">
        <f>IF(C9="","",VLOOKUP($C9,'individuel,'!$B$8:$W$60,5))</f>
        <v>BOCQUET</v>
      </c>
      <c r="G9" s="145" t="str">
        <f>IF(C9="","",VLOOKUP($C9,'individuel,'!$B$8:$W$60,6))</f>
        <v>Ambre</v>
      </c>
      <c r="H9" s="145">
        <f>IF(C9="","",VLOOKUP($C9,'individuel,'!$B$8:$W$60,7))</f>
        <v>1994</v>
      </c>
      <c r="I9" s="146" t="str">
        <f>IF(C9="","",VLOOKUP($C9,'individuel,'!$B$8:$W$60,8))</f>
        <v>Nord</v>
      </c>
      <c r="J9" s="146" t="str">
        <f>IF(C9="","",VLOOKUP($C9,'individuel,'!$B$8:$W$60,9))</f>
        <v>FR</v>
      </c>
      <c r="K9" s="145">
        <f>IF(C9="","",VLOOKUP($C9,'individuel,'!$B$8:$W$60,14))</f>
        <v>73</v>
      </c>
      <c r="L9" s="145">
        <f>IF(C9="","",VLOOKUP($C9,'individuel,'!$B$8:$W$60,18))</f>
        <v>90</v>
      </c>
      <c r="M9" s="280">
        <f>IF(C9="","",VLOOKUP($C9,'individuel,'!$B$8:$W$60,19))</f>
        <v>163</v>
      </c>
      <c r="N9" s="145"/>
      <c r="O9" s="145"/>
      <c r="P9" s="284">
        <f>IF(C9="","",VLOOKUP($C9,'individuel,'!$B$8:$W$60,22))</f>
        <v>225.43807046289649</v>
      </c>
      <c r="Q9" s="170"/>
      <c r="R9" s="170"/>
      <c r="S9" s="148">
        <f t="shared" si="0"/>
        <v>338.15710569434475</v>
      </c>
      <c r="T9" s="149" t="s">
        <v>144</v>
      </c>
      <c r="U9" s="171"/>
      <c r="V9" s="150"/>
      <c r="W9" s="172"/>
    </row>
    <row r="10" spans="1:105" ht="16.2" thickBot="1" x14ac:dyDescent="0.3">
      <c r="B10" s="169"/>
      <c r="C10" s="145">
        <v>111</v>
      </c>
      <c r="D10" s="145">
        <f>IF(C10="","",VLOOKUP($C10,'individuel,'!$B$8:$W$60,3))</f>
        <v>0</v>
      </c>
      <c r="E10" s="145" t="str">
        <f>IF(C10="","",VLOOKUP($C10,'individuel,'!$B$8:$W$60,4))</f>
        <v>H</v>
      </c>
      <c r="F10" s="145" t="str">
        <f>IF(C10="","",VLOOKUP($C10,'individuel,'!$B$8:$W$60,5))</f>
        <v>SOM</v>
      </c>
      <c r="G10" s="145" t="str">
        <f>IF(C10="","",VLOOKUP($C10,'individuel,'!$B$8:$W$60,6))</f>
        <v>Hanzo</v>
      </c>
      <c r="H10" s="145">
        <f>IF(C10="","",VLOOKUP($C10,'individuel,'!$B$8:$W$60,7))</f>
        <v>2005</v>
      </c>
      <c r="I10" s="146" t="str">
        <f>IF(C10="","",VLOOKUP($C10,'individuel,'!$B$8:$W$60,8))</f>
        <v>Nord</v>
      </c>
      <c r="J10" s="146" t="str">
        <f>IF(C10="","",VLOOKUP($C10,'individuel,'!$B$8:$W$60,9))</f>
        <v>FR</v>
      </c>
      <c r="K10" s="145">
        <f>IF(C10="","",VLOOKUP($C10,'individuel,'!$B$8:$W$60,14))</f>
        <v>112</v>
      </c>
      <c r="L10" s="145">
        <f>IF(C10="","",VLOOKUP($C10,'individuel,'!$B$8:$W$60,18))</f>
        <v>135</v>
      </c>
      <c r="M10" s="280">
        <f>IF(C10="","",VLOOKUP($C10,'individuel,'!$B$8:$W$60,19))</f>
        <v>247</v>
      </c>
      <c r="N10" s="145"/>
      <c r="O10" s="145"/>
      <c r="P10" s="284">
        <f>IF(C10="","",VLOOKUP($C10,'individuel,'!$B$8:$W$60,22))</f>
        <v>341.34648171395332</v>
      </c>
      <c r="Q10" s="170"/>
      <c r="R10" s="170"/>
      <c r="S10" s="148">
        <f t="shared" si="0"/>
        <v>341.34648171395332</v>
      </c>
      <c r="T10" s="152" t="s">
        <v>144</v>
      </c>
      <c r="U10" s="171"/>
      <c r="V10" s="173"/>
      <c r="W10" s="172"/>
    </row>
    <row r="11" spans="1:105" ht="16.2" thickBot="1" x14ac:dyDescent="0.3">
      <c r="B11" s="174"/>
      <c r="C11" s="145">
        <v>122</v>
      </c>
      <c r="D11" s="145">
        <f>IF(C11="","",VLOOKUP($C11,'individuel,'!$B$8:$W$60,3))</f>
        <v>0</v>
      </c>
      <c r="E11" s="145" t="str">
        <f>IF(C11="","",VLOOKUP($C11,'individuel,'!$B$8:$W$60,4))</f>
        <v>H</v>
      </c>
      <c r="F11" s="145" t="str">
        <f>IF(C11="","",VLOOKUP($C11,'individuel,'!$B$8:$W$60,5))</f>
        <v>IMADOUCHENE</v>
      </c>
      <c r="G11" s="145" t="str">
        <f>IF(C11="","",VLOOKUP($C11,'individuel,'!$B$8:$W$60,6))</f>
        <v>Romain</v>
      </c>
      <c r="H11" s="145">
        <f>IF(C11="","",VLOOKUP($C11,'individuel,'!$B$8:$W$60,7))</f>
        <v>1995</v>
      </c>
      <c r="I11" s="146" t="str">
        <f>IF(C11="","",VLOOKUP($C11,'individuel,'!$B$8:$W$60,8))</f>
        <v>Nord</v>
      </c>
      <c r="J11" s="146" t="str">
        <f>IF(C11="","",VLOOKUP($C11,'individuel,'!$B$8:$W$60,9))</f>
        <v>FR</v>
      </c>
      <c r="K11" s="145">
        <f>IF(C11="","",VLOOKUP($C11,'individuel,'!$B$8:$W$60,14))</f>
        <v>150</v>
      </c>
      <c r="L11" s="145">
        <f>IF(C11="","",VLOOKUP($C11,'individuel,'!$B$8:$W$60,18))</f>
        <v>185</v>
      </c>
      <c r="M11" s="280">
        <f>IF(C11="","",VLOOKUP($C11,'individuel,'!$B$8:$W$60,19))</f>
        <v>335</v>
      </c>
      <c r="N11" s="145"/>
      <c r="O11" s="145"/>
      <c r="P11" s="284">
        <f>IF(C11="","",VLOOKUP($C11,'individuel,'!$B$8:$W$60,22))</f>
        <v>390.508931511279</v>
      </c>
      <c r="R11" s="153"/>
      <c r="S11" s="148">
        <f>IF(C11="","",IF(E11="h",P11,P11*1.5))</f>
        <v>390.508931511279</v>
      </c>
      <c r="T11" s="155" t="s">
        <v>144</v>
      </c>
      <c r="V11" s="371" t="s">
        <v>148</v>
      </c>
      <c r="W11" s="372"/>
    </row>
    <row r="12" spans="1:105" ht="17.399999999999999" x14ac:dyDescent="0.25">
      <c r="B12" s="174"/>
      <c r="M12" s="281"/>
      <c r="P12" s="285"/>
      <c r="R12" s="156" t="s">
        <v>145</v>
      </c>
      <c r="S12" s="158">
        <f>SUM(S8:S11)</f>
        <v>1316.3838528800557</v>
      </c>
      <c r="T12" s="157" t="s">
        <v>144</v>
      </c>
      <c r="V12" s="373">
        <f>RANK(S12,$Y$12:$Y$23)</f>
        <v>2</v>
      </c>
      <c r="W12" s="374"/>
      <c r="Y12" s="3">
        <f>S12</f>
        <v>1316.3838528800557</v>
      </c>
    </row>
    <row r="13" spans="1:105" x14ac:dyDescent="0.25">
      <c r="B13" s="174"/>
      <c r="M13" s="281"/>
      <c r="P13" s="285"/>
      <c r="V13" s="375"/>
      <c r="W13" s="376"/>
      <c r="Y13" s="3">
        <f>S20</f>
        <v>1226.9480364549672</v>
      </c>
    </row>
    <row r="14" spans="1:105" ht="16.2" thickBot="1" x14ac:dyDescent="0.3">
      <c r="B14" s="176"/>
      <c r="C14" s="177"/>
      <c r="D14" s="178"/>
      <c r="E14" s="177"/>
      <c r="F14" s="177"/>
      <c r="G14" s="177"/>
      <c r="H14" s="179"/>
      <c r="I14" s="180"/>
      <c r="J14" s="181"/>
      <c r="K14" s="182"/>
      <c r="L14" s="177"/>
      <c r="M14" s="282"/>
      <c r="N14" s="177"/>
      <c r="O14" s="183"/>
      <c r="P14" s="286"/>
      <c r="Q14" s="177"/>
      <c r="R14" s="177"/>
      <c r="S14" s="183"/>
      <c r="T14" s="183"/>
      <c r="U14" s="184"/>
      <c r="V14" s="377"/>
      <c r="W14" s="378"/>
      <c r="Y14" s="3">
        <f>S28</f>
        <v>1139.1417715750945</v>
      </c>
    </row>
    <row r="15" spans="1:105" ht="16.2" thickBot="1" x14ac:dyDescent="0.3">
      <c r="B15" s="159" t="s">
        <v>146</v>
      </c>
      <c r="C15" s="160"/>
      <c r="D15" s="160" t="s">
        <v>147</v>
      </c>
      <c r="E15" s="160"/>
      <c r="F15" s="160"/>
      <c r="G15" s="161" t="s">
        <v>140</v>
      </c>
      <c r="H15" s="162"/>
      <c r="I15" s="163"/>
      <c r="J15" s="164"/>
      <c r="K15" s="165"/>
      <c r="L15" s="160"/>
      <c r="M15" s="283"/>
      <c r="N15" s="160"/>
      <c r="O15" s="161"/>
      <c r="P15" s="287"/>
      <c r="Q15" s="160"/>
      <c r="R15" s="161"/>
      <c r="S15" s="161" t="s">
        <v>143</v>
      </c>
      <c r="T15" s="161"/>
      <c r="U15" s="166"/>
      <c r="V15" s="167"/>
      <c r="W15" s="168"/>
      <c r="Y15" s="3">
        <f>S36</f>
        <v>936.723309188553</v>
      </c>
    </row>
    <row r="16" spans="1:105" ht="16.2" thickBot="1" x14ac:dyDescent="0.3">
      <c r="B16" s="169"/>
      <c r="C16" s="145">
        <v>2</v>
      </c>
      <c r="D16" s="145">
        <f>IF(C16="","",VLOOKUP($C16,'individuel,'!$B$8:$W$60,3))</f>
        <v>0</v>
      </c>
      <c r="E16" s="145" t="str">
        <f>IF(C16="","",VLOOKUP($C16,'individuel,'!$B$8:$W$60,4))</f>
        <v>f</v>
      </c>
      <c r="F16" s="145" t="str">
        <f>IF(C16="","",VLOOKUP($C16,'individuel,'!$B$8:$W$60,5))</f>
        <v>TREVILLOT</v>
      </c>
      <c r="G16" s="145" t="str">
        <f>IF(C16="","",VLOOKUP($C16,'individuel,'!$B$8:$W$60,6))</f>
        <v>Jeanne</v>
      </c>
      <c r="H16" s="145">
        <f>IF(C16="","",VLOOKUP($C16,'individuel,'!$B$8:$W$60,7))</f>
        <v>2011</v>
      </c>
      <c r="I16" s="146" t="str">
        <f>IF(C16="","",VLOOKUP($C16,'individuel,'!$B$8:$W$60,8))</f>
        <v>Sélection France</v>
      </c>
      <c r="J16" s="145" t="str">
        <f>IF(C16="","",VLOOKUP($C16,'individuel,'!$B$8:$W$60,9))</f>
        <v>FR</v>
      </c>
      <c r="K16" s="145">
        <f>IF(C16="","",VLOOKUP($C16,'individuel,'!$B$8:$W$60,14))</f>
        <v>55</v>
      </c>
      <c r="L16" s="145">
        <f>IF(C16="","",VLOOKUP($C16,'individuel,'!$B$8:$W$60,18))</f>
        <v>68</v>
      </c>
      <c r="M16" s="280">
        <f>IF(C16="","",VLOOKUP($C16,'individuel,'!$B$8:$W$60,19))</f>
        <v>123</v>
      </c>
      <c r="N16" s="145"/>
      <c r="O16" s="145"/>
      <c r="P16" s="284">
        <f>IF(C16="","",VLOOKUP($C16,'individuel,'!$B$8:$W$60,22))</f>
        <v>181.75685918191846</v>
      </c>
      <c r="Q16" s="170"/>
      <c r="R16" s="170"/>
      <c r="S16" s="148">
        <f t="shared" ref="S16:S18" si="1">IF(C16="","",IF(E16="h",P16,P16*1.5))</f>
        <v>272.63528877287769</v>
      </c>
      <c r="T16" s="149" t="s">
        <v>144</v>
      </c>
      <c r="U16" s="171"/>
      <c r="V16" s="150"/>
      <c r="W16" s="172"/>
      <c r="Y16" s="3">
        <f>S44</f>
        <v>1275.0159299311144</v>
      </c>
    </row>
    <row r="17" spans="2:25" ht="16.2" thickBot="1" x14ac:dyDescent="0.3">
      <c r="B17" s="169"/>
      <c r="C17" s="145">
        <v>4</v>
      </c>
      <c r="D17" s="145">
        <f>IF(C17="","",VLOOKUP($C17,'individuel,'!$B$8:$W$60,3))</f>
        <v>0</v>
      </c>
      <c r="E17" s="145" t="str">
        <f>IF(C17="","",VLOOKUP($C17,'individuel,'!$B$8:$W$60,4))</f>
        <v>f</v>
      </c>
      <c r="F17" s="145" t="str">
        <f>IF(C17="","",VLOOKUP($C17,'individuel,'!$B$8:$W$60,5))</f>
        <v>BEAUGER</v>
      </c>
      <c r="G17" s="145" t="str">
        <f>IF(C17="","",VLOOKUP($C17,'individuel,'!$B$8:$W$60,6))</f>
        <v>Clara</v>
      </c>
      <c r="H17" s="145">
        <f>IF(C17="","",VLOOKUP($C17,'individuel,'!$B$8:$W$60,7))</f>
        <v>2012</v>
      </c>
      <c r="I17" s="146" t="str">
        <f>IF(C17="","",VLOOKUP($C17,'individuel,'!$B$8:$W$60,8))</f>
        <v>Sélection France</v>
      </c>
      <c r="J17" s="145" t="str">
        <f>IF(C17="","",VLOOKUP($C17,'individuel,'!$B$8:$W$60,9))</f>
        <v>FR</v>
      </c>
      <c r="K17" s="145">
        <f>IF(C17="","",VLOOKUP($C17,'individuel,'!$B$8:$W$60,14))</f>
        <v>60</v>
      </c>
      <c r="L17" s="145">
        <f>IF(C17="","",VLOOKUP($C17,'individuel,'!$B$8:$W$60,18))</f>
        <v>69</v>
      </c>
      <c r="M17" s="280">
        <f>IF(C17="","",VLOOKUP($C17,'individuel,'!$B$8:$W$60,19))</f>
        <v>129</v>
      </c>
      <c r="N17" s="145"/>
      <c r="O17" s="145"/>
      <c r="P17" s="284">
        <f>IF(C17="","",VLOOKUP($C17,'individuel,'!$B$8:$W$60,22))</f>
        <v>184.07383139476144</v>
      </c>
      <c r="Q17" s="170"/>
      <c r="R17" s="170"/>
      <c r="S17" s="148">
        <f t="shared" si="1"/>
        <v>276.11074709214216</v>
      </c>
      <c r="T17" s="149" t="s">
        <v>144</v>
      </c>
      <c r="U17" s="171"/>
      <c r="V17" s="150"/>
      <c r="W17" s="172"/>
      <c r="Y17" s="3">
        <f>S52</f>
        <v>986.37814305854886</v>
      </c>
    </row>
    <row r="18" spans="2:25" x14ac:dyDescent="0.25">
      <c r="B18" s="169"/>
      <c r="C18" s="145">
        <v>16</v>
      </c>
      <c r="D18" s="145">
        <f>IF(C18="","",VLOOKUP($C18,'individuel,'!$B$8:$W$60,3))</f>
        <v>0</v>
      </c>
      <c r="E18" s="145" t="str">
        <f>IF(C18="","",VLOOKUP($C18,'individuel,'!$B$8:$W$60,4))</f>
        <v>f</v>
      </c>
      <c r="F18" s="145" t="str">
        <f>IF(C18="","",VLOOKUP($C18,'individuel,'!$B$8:$W$60,5))</f>
        <v>ROUSSELLE</v>
      </c>
      <c r="G18" s="145" t="str">
        <f>IF(C18="","",VLOOKUP($C18,'individuel,'!$B$8:$W$60,6))</f>
        <v>Julie</v>
      </c>
      <c r="H18" s="145">
        <f>IF(C18="","",VLOOKUP($C18,'individuel,'!$B$8:$W$60,7))</f>
        <v>2006</v>
      </c>
      <c r="I18" s="146" t="str">
        <f>IF(C18="","",VLOOKUP($C18,'individuel,'!$B$8:$W$60,8))</f>
        <v>Sélection France</v>
      </c>
      <c r="J18" s="145" t="str">
        <f>IF(C18="","",VLOOKUP($C18,'individuel,'!$B$8:$W$60,9))</f>
        <v>FR</v>
      </c>
      <c r="K18" s="145">
        <f>IF(C18="","",VLOOKUP($C18,'individuel,'!$B$8:$W$60,14))</f>
        <v>74</v>
      </c>
      <c r="L18" s="145">
        <f>IF(C18="","",VLOOKUP($C18,'individuel,'!$B$8:$W$60,18))</f>
        <v>91</v>
      </c>
      <c r="M18" s="280">
        <f>IF(C18="","",VLOOKUP($C18,'individuel,'!$B$8:$W$60,19))</f>
        <v>165</v>
      </c>
      <c r="N18" s="145"/>
      <c r="O18" s="145"/>
      <c r="P18" s="284">
        <f>IF(C18="","",VLOOKUP($C18,'individuel,'!$B$8:$W$60,22))</f>
        <v>232.13121701863881</v>
      </c>
      <c r="Q18" s="170"/>
      <c r="R18" s="170"/>
      <c r="S18" s="151">
        <f t="shared" si="1"/>
        <v>348.1968255279582</v>
      </c>
      <c r="T18" s="152" t="s">
        <v>144</v>
      </c>
      <c r="U18" s="171"/>
      <c r="V18" s="173"/>
      <c r="W18" s="172"/>
      <c r="Y18" s="3">
        <f>S60</f>
        <v>1017.577320032456</v>
      </c>
    </row>
    <row r="19" spans="2:25" ht="16.2" thickBot="1" x14ac:dyDescent="0.3">
      <c r="B19" s="174"/>
      <c r="C19" s="147">
        <v>18</v>
      </c>
      <c r="D19" s="145">
        <f>IF(C19="","",VLOOKUP($C19,'individuel,'!$B$8:$W$60,3))</f>
        <v>0</v>
      </c>
      <c r="E19" s="145" t="str">
        <f>IF(C19="","",VLOOKUP($C19,'individuel,'!$B$8:$W$60,4))</f>
        <v>F</v>
      </c>
      <c r="F19" s="145" t="str">
        <f>IF(C19="","",VLOOKUP($C19,'individuel,'!$B$8:$W$60,5))</f>
        <v>CORGIAT BONDON</v>
      </c>
      <c r="G19" s="145" t="str">
        <f>IF(C19="","",VLOOKUP($C19,'individuel,'!$B$8:$W$60,6))</f>
        <v>Maelys</v>
      </c>
      <c r="H19" s="145">
        <f>IF(C19="","",VLOOKUP($C19,'individuel,'!$B$8:$W$60,7))</f>
        <v>2008</v>
      </c>
      <c r="I19" s="146" t="str">
        <f>IF(C19="","",VLOOKUP($C19,'individuel,'!$B$8:$W$60,8))</f>
        <v>Sélection France</v>
      </c>
      <c r="J19" s="145" t="str">
        <f>IF(C19="","",VLOOKUP($C19,'individuel,'!$B$8:$W$60,9))</f>
        <v>FR</v>
      </c>
      <c r="K19" s="145">
        <f>IF(C19="","",VLOOKUP($C19,'individuel,'!$B$8:$W$60,14))</f>
        <v>69</v>
      </c>
      <c r="L19" s="145">
        <f>IF(C19="","",VLOOKUP($C19,'individuel,'!$B$8:$W$60,18))</f>
        <v>88</v>
      </c>
      <c r="M19" s="280">
        <f>IF(C19="","",VLOOKUP($C19,'individuel,'!$B$8:$W$60,19))</f>
        <v>157</v>
      </c>
      <c r="N19" s="145"/>
      <c r="O19" s="145"/>
      <c r="P19" s="284">
        <f>IF(C19="","",VLOOKUP($C19,'individuel,'!$B$8:$W$60,22))</f>
        <v>220.00345004132606</v>
      </c>
      <c r="R19" s="153"/>
      <c r="S19" s="154">
        <f>IF(C19="","",IF(E19="h",P19,P19*1.5))</f>
        <v>330.00517506198912</v>
      </c>
      <c r="T19" s="155" t="s">
        <v>144</v>
      </c>
      <c r="W19" s="175"/>
      <c r="Y19" s="3">
        <f>S68</f>
        <v>1505.4610250038706</v>
      </c>
    </row>
    <row r="20" spans="2:25" ht="17.399999999999999" customHeight="1" x14ac:dyDescent="0.25">
      <c r="B20" s="174"/>
      <c r="M20" s="281"/>
      <c r="P20" s="285"/>
      <c r="R20" s="156" t="s">
        <v>145</v>
      </c>
      <c r="S20" s="158">
        <f>SUM(S16:S19)</f>
        <v>1226.9480364549672</v>
      </c>
      <c r="T20" s="157" t="s">
        <v>144</v>
      </c>
      <c r="V20" s="373">
        <f>RANK(S20,$Y$12:$Y$23)</f>
        <v>6</v>
      </c>
      <c r="W20" s="374"/>
      <c r="Y20" s="3">
        <f>S76</f>
        <v>1275.7311259530065</v>
      </c>
    </row>
    <row r="21" spans="2:25" ht="15.6" customHeight="1" x14ac:dyDescent="0.25">
      <c r="B21" s="174"/>
      <c r="M21" s="281"/>
      <c r="P21" s="285"/>
      <c r="V21" s="375"/>
      <c r="W21" s="376"/>
      <c r="Y21" s="3">
        <f>S84</f>
        <v>1184.0878764712836</v>
      </c>
    </row>
    <row r="22" spans="2:25" ht="16.2" customHeight="1" thickBot="1" x14ac:dyDescent="0.3">
      <c r="B22" s="176"/>
      <c r="C22" s="177"/>
      <c r="D22" s="178"/>
      <c r="E22" s="177"/>
      <c r="F22" s="177"/>
      <c r="G22" s="177"/>
      <c r="H22" s="179"/>
      <c r="I22" s="180"/>
      <c r="J22" s="181"/>
      <c r="K22" s="182"/>
      <c r="L22" s="177"/>
      <c r="M22" s="282"/>
      <c r="N22" s="177"/>
      <c r="O22" s="183"/>
      <c r="P22" s="286"/>
      <c r="Q22" s="177"/>
      <c r="R22" s="177"/>
      <c r="S22" s="183"/>
      <c r="T22" s="183"/>
      <c r="U22" s="184"/>
      <c r="V22" s="377"/>
      <c r="W22" s="378"/>
      <c r="Y22" s="3">
        <f>S92</f>
        <v>739.95318573268219</v>
      </c>
    </row>
    <row r="23" spans="2:25" ht="16.2" thickBot="1" x14ac:dyDescent="0.3">
      <c r="B23" s="159" t="s">
        <v>146</v>
      </c>
      <c r="C23" s="160"/>
      <c r="D23" s="160" t="s">
        <v>147</v>
      </c>
      <c r="E23" s="160"/>
      <c r="F23" s="160"/>
      <c r="G23" s="161" t="s">
        <v>140</v>
      </c>
      <c r="H23" s="162"/>
      <c r="I23" s="163"/>
      <c r="J23" s="164"/>
      <c r="K23" s="165"/>
      <c r="L23" s="160"/>
      <c r="M23" s="283"/>
      <c r="N23" s="160"/>
      <c r="O23" s="161"/>
      <c r="P23" s="287"/>
      <c r="Q23" s="160"/>
      <c r="R23" s="161"/>
      <c r="S23" s="161" t="s">
        <v>143</v>
      </c>
      <c r="T23" s="161"/>
      <c r="U23" s="166"/>
      <c r="V23" s="167"/>
      <c r="W23" s="168"/>
      <c r="Y23" s="3">
        <f>S100</f>
        <v>1279.05224628155</v>
      </c>
    </row>
    <row r="24" spans="2:25" ht="16.2" thickBot="1" x14ac:dyDescent="0.3">
      <c r="B24" s="169"/>
      <c r="C24" s="145">
        <v>5</v>
      </c>
      <c r="D24" s="145">
        <f>IF(C24="","",VLOOKUP($C24,'individuel,'!$B$8:$W$60,3))</f>
        <v>0</v>
      </c>
      <c r="E24" s="145" t="str">
        <f>IF(C24="","",VLOOKUP($C24,'individuel,'!$B$8:$W$60,4))</f>
        <v>F</v>
      </c>
      <c r="F24" s="145" t="str">
        <f>IF(C24="","",VLOOKUP($C24,'individuel,'!$B$8:$W$60,5))</f>
        <v>LESAGE</v>
      </c>
      <c r="G24" s="145" t="str">
        <f>IF(C24="","",VLOOKUP($C24,'individuel,'!$B$8:$W$60,6))</f>
        <v>Pauline</v>
      </c>
      <c r="H24" s="145">
        <f>IF(C24="","",VLOOKUP($C24,'individuel,'!$B$8:$W$60,7))</f>
        <v>1992</v>
      </c>
      <c r="I24" s="146" t="str">
        <f>IF(C24="","",VLOOKUP($C24,'individuel,'!$B$8:$W$60,8))</f>
        <v>Pas de Calais</v>
      </c>
      <c r="J24" s="145" t="str">
        <f>IF(C24="","",VLOOKUP($C24,'individuel,'!$B$8:$W$60,9))</f>
        <v>FR</v>
      </c>
      <c r="K24" s="145">
        <f>IF(C24="","",VLOOKUP($C24,'individuel,'!$B$8:$W$60,14))</f>
        <v>66</v>
      </c>
      <c r="L24" s="145">
        <f>IF(C24="","",VLOOKUP($C24,'individuel,'!$B$8:$W$60,18))</f>
        <v>80</v>
      </c>
      <c r="M24" s="280">
        <f>IF(C24="","",VLOOKUP($C24,'individuel,'!$B$8:$W$60,19))</f>
        <v>146</v>
      </c>
      <c r="N24" s="145"/>
      <c r="O24" s="145"/>
      <c r="P24" s="284">
        <f>IF(C24="","",VLOOKUP($C24,'individuel,'!$B$8:$W$60,22))</f>
        <v>182.11520462683154</v>
      </c>
      <c r="Q24" s="170"/>
      <c r="R24" s="170"/>
      <c r="S24" s="148">
        <f t="shared" ref="S24:S26" si="2">IF(C24="","",IF(E24="h",P24,P24*1.5))</f>
        <v>273.17280694024731</v>
      </c>
      <c r="T24" s="149" t="s">
        <v>144</v>
      </c>
      <c r="U24" s="171"/>
      <c r="V24" s="150"/>
      <c r="W24" s="172"/>
    </row>
    <row r="25" spans="2:25" ht="16.2" thickBot="1" x14ac:dyDescent="0.3">
      <c r="B25" s="169"/>
      <c r="C25" s="145">
        <v>7</v>
      </c>
      <c r="D25" s="145">
        <f>IF(C25="","",VLOOKUP($C25,'individuel,'!$B$8:$W$60,3))</f>
        <v>0</v>
      </c>
      <c r="E25" s="145" t="str">
        <f>IF(C25="","",VLOOKUP($C25,'individuel,'!$B$8:$W$60,4))</f>
        <v>F</v>
      </c>
      <c r="F25" s="145" t="str">
        <f>IF(C25="","",VLOOKUP($C25,'individuel,'!$B$8:$W$60,5))</f>
        <v>PHAM</v>
      </c>
      <c r="G25" s="145" t="str">
        <f>IF(C25="","",VLOOKUP($C25,'individuel,'!$B$8:$W$60,6))</f>
        <v>Lee na</v>
      </c>
      <c r="H25" s="145">
        <f>IF(C25="","",VLOOKUP($C25,'individuel,'!$B$8:$W$60,7))</f>
        <v>2006</v>
      </c>
      <c r="I25" s="146" t="str">
        <f>IF(C25="","",VLOOKUP($C25,'individuel,'!$B$8:$W$60,8))</f>
        <v>Pas de Calais</v>
      </c>
      <c r="J25" s="145" t="str">
        <f>IF(C25="","",VLOOKUP($C25,'individuel,'!$B$8:$W$60,9))</f>
        <v>FR</v>
      </c>
      <c r="K25" s="145">
        <f>IF(C25="","",VLOOKUP($C25,'individuel,'!$B$8:$W$60,14))</f>
        <v>67</v>
      </c>
      <c r="L25" s="145">
        <f>IF(C25="","",VLOOKUP($C25,'individuel,'!$B$8:$W$60,18))</f>
        <v>85</v>
      </c>
      <c r="M25" s="280">
        <f>IF(C25="","",VLOOKUP($C25,'individuel,'!$B$8:$W$60,19))</f>
        <v>152</v>
      </c>
      <c r="N25" s="145"/>
      <c r="O25" s="145"/>
      <c r="P25" s="284">
        <f>IF(C25="","",VLOOKUP($C25,'individuel,'!$B$8:$W$60,22))</f>
        <v>219.54453694559535</v>
      </c>
      <c r="Q25" s="170"/>
      <c r="R25" s="170"/>
      <c r="S25" s="148">
        <f t="shared" si="2"/>
        <v>329.31680541839302</v>
      </c>
      <c r="T25" s="149" t="s">
        <v>144</v>
      </c>
      <c r="U25" s="171"/>
      <c r="V25" s="150"/>
      <c r="W25" s="172"/>
    </row>
    <row r="26" spans="2:25" x14ac:dyDescent="0.25">
      <c r="B26" s="169"/>
      <c r="C26" s="145">
        <v>104</v>
      </c>
      <c r="D26" s="145">
        <f>IF(C26="","",VLOOKUP($C26,'individuel,'!$B$8:$W$60,3))</f>
        <v>0</v>
      </c>
      <c r="E26" s="145" t="str">
        <f>IF(C26="","",VLOOKUP($C26,'individuel,'!$B$8:$W$60,4))</f>
        <v>H</v>
      </c>
      <c r="F26" s="145" t="str">
        <f>IF(C26="","",VLOOKUP($C26,'individuel,'!$B$8:$W$60,5))</f>
        <v>BARTHELEMY</v>
      </c>
      <c r="G26" s="145" t="str">
        <f>IF(C26="","",VLOOKUP($C26,'individuel,'!$B$8:$W$60,6))</f>
        <v>Florent</v>
      </c>
      <c r="H26" s="145">
        <f>IF(C26="","",VLOOKUP($C26,'individuel,'!$B$8:$W$60,7))</f>
        <v>2005</v>
      </c>
      <c r="I26" s="146" t="str">
        <f>IF(C26="","",VLOOKUP($C26,'individuel,'!$B$8:$W$60,8))</f>
        <v>Pas de Calais</v>
      </c>
      <c r="J26" s="145" t="str">
        <f>IF(C26="","",VLOOKUP($C26,'individuel,'!$B$8:$W$60,9))</f>
        <v>FR</v>
      </c>
      <c r="K26" s="145">
        <f>IF(C26="","",VLOOKUP($C26,'individuel,'!$B$8:$W$60,14))</f>
        <v>80</v>
      </c>
      <c r="L26" s="145">
        <f>IF(C26="","",VLOOKUP($C26,'individuel,'!$B$8:$W$60,18))</f>
        <v>100</v>
      </c>
      <c r="M26" s="280">
        <f>IF(C26="","",VLOOKUP($C26,'individuel,'!$B$8:$W$60,19))</f>
        <v>180</v>
      </c>
      <c r="N26" s="145"/>
      <c r="O26" s="145"/>
      <c r="P26" s="284">
        <f>IF(C26="","",VLOOKUP($C26,'individuel,'!$B$8:$W$60,22))</f>
        <v>282.00429830143605</v>
      </c>
      <c r="Q26" s="170"/>
      <c r="R26" s="170"/>
      <c r="S26" s="151">
        <f t="shared" si="2"/>
        <v>282.00429830143605</v>
      </c>
      <c r="T26" s="152" t="s">
        <v>144</v>
      </c>
      <c r="U26" s="171"/>
      <c r="V26" s="173"/>
      <c r="W26" s="172"/>
    </row>
    <row r="27" spans="2:25" ht="16.2" thickBot="1" x14ac:dyDescent="0.3">
      <c r="B27" s="174"/>
      <c r="C27" s="147">
        <v>106</v>
      </c>
      <c r="D27" s="145">
        <f>IF(C27="","",VLOOKUP($C27,'individuel,'!$B$8:$W$60,3))</f>
        <v>0</v>
      </c>
      <c r="E27" s="145" t="str">
        <f>IF(C27="","",VLOOKUP($C27,'individuel,'!$B$8:$W$60,4))</f>
        <v>H</v>
      </c>
      <c r="F27" s="145" t="str">
        <f>IF(C27="","",VLOOKUP($C27,'individuel,'!$B$8:$W$60,5))</f>
        <v>GELE</v>
      </c>
      <c r="G27" s="145" t="str">
        <f>IF(C27="","",VLOOKUP($C27,'individuel,'!$B$8:$W$60,6))</f>
        <v>Ulysse</v>
      </c>
      <c r="H27" s="145">
        <f>IF(C27="","",VLOOKUP($C27,'individuel,'!$B$8:$W$60,7))</f>
        <v>2006</v>
      </c>
      <c r="I27" s="146" t="str">
        <f>IF(C27="","",VLOOKUP($C27,'individuel,'!$B$8:$W$60,8))</f>
        <v>Pas de Calais</v>
      </c>
      <c r="J27" s="145" t="str">
        <f>IF(C27="","",VLOOKUP($C27,'individuel,'!$B$8:$W$60,9))</f>
        <v>FR</v>
      </c>
      <c r="K27" s="145">
        <f>IF(C27="","",VLOOKUP($C27,'individuel,'!$B$8:$W$60,14))</f>
        <v>88</v>
      </c>
      <c r="L27" s="145">
        <f>IF(C27="","",VLOOKUP($C27,'individuel,'!$B$8:$W$60,18))</f>
        <v>105</v>
      </c>
      <c r="M27" s="280">
        <f>IF(C27="","",VLOOKUP($C27,'individuel,'!$B$8:$W$60,19))</f>
        <v>193</v>
      </c>
      <c r="N27" s="145"/>
      <c r="O27" s="145"/>
      <c r="P27" s="284">
        <f>IF(C27="","",VLOOKUP($C27,'individuel,'!$B$8:$W$60,22))</f>
        <v>254.64786091501816</v>
      </c>
      <c r="R27" s="153"/>
      <c r="S27" s="154">
        <f>IF(C27="","",IF(E27="h",P27,P27*1.5))</f>
        <v>254.64786091501816</v>
      </c>
      <c r="T27" s="155" t="s">
        <v>144</v>
      </c>
      <c r="W27" s="175"/>
    </row>
    <row r="28" spans="2:25" ht="17.399999999999999" x14ac:dyDescent="0.25">
      <c r="B28" s="174"/>
      <c r="M28" s="281"/>
      <c r="P28" s="285"/>
      <c r="R28" s="156" t="s">
        <v>145</v>
      </c>
      <c r="S28" s="158">
        <f>SUM(S24:S27)</f>
        <v>1139.1417715750945</v>
      </c>
      <c r="T28" s="157" t="s">
        <v>144</v>
      </c>
      <c r="V28" s="373">
        <f>RANK(S28,$Y$12:$Y$23)</f>
        <v>8</v>
      </c>
      <c r="W28" s="374"/>
    </row>
    <row r="29" spans="2:25" x14ac:dyDescent="0.25">
      <c r="B29" s="174"/>
      <c r="M29" s="281"/>
      <c r="P29" s="285"/>
      <c r="V29" s="375"/>
      <c r="W29" s="376"/>
    </row>
    <row r="30" spans="2:25" ht="16.2" thickBot="1" x14ac:dyDescent="0.3">
      <c r="B30" s="176"/>
      <c r="C30" s="177"/>
      <c r="D30" s="178"/>
      <c r="E30" s="177"/>
      <c r="F30" s="177"/>
      <c r="G30" s="177"/>
      <c r="H30" s="179"/>
      <c r="I30" s="180"/>
      <c r="J30" s="181"/>
      <c r="K30" s="182"/>
      <c r="L30" s="177"/>
      <c r="M30" s="282"/>
      <c r="N30" s="177"/>
      <c r="O30" s="183"/>
      <c r="P30" s="286"/>
      <c r="Q30" s="177"/>
      <c r="R30" s="177"/>
      <c r="S30" s="183"/>
      <c r="T30" s="183"/>
      <c r="U30" s="184"/>
      <c r="V30" s="377"/>
      <c r="W30" s="378"/>
    </row>
    <row r="31" spans="2:25" ht="16.2" thickBot="1" x14ac:dyDescent="0.3">
      <c r="B31" s="159" t="s">
        <v>146</v>
      </c>
      <c r="C31" s="160"/>
      <c r="D31" s="160" t="s">
        <v>147</v>
      </c>
      <c r="E31" s="160"/>
      <c r="F31" s="160"/>
      <c r="G31" s="161" t="s">
        <v>140</v>
      </c>
      <c r="H31" s="162"/>
      <c r="I31" s="163"/>
      <c r="J31" s="164"/>
      <c r="K31" s="165"/>
      <c r="L31" s="160"/>
      <c r="M31" s="283"/>
      <c r="N31" s="160"/>
      <c r="O31" s="161"/>
      <c r="P31" s="287"/>
      <c r="Q31" s="160"/>
      <c r="R31" s="161"/>
      <c r="S31" s="161" t="s">
        <v>143</v>
      </c>
      <c r="T31" s="161"/>
      <c r="U31" s="166"/>
      <c r="V31" s="167"/>
      <c r="W31" s="168"/>
    </row>
    <row r="32" spans="2:25" ht="16.2" thickBot="1" x14ac:dyDescent="0.3">
      <c r="B32" s="169"/>
      <c r="C32" s="145">
        <v>6</v>
      </c>
      <c r="D32" s="145">
        <f>IF(C32="","",VLOOKUP($C32,'individuel,'!$B$8:$W$60,3))</f>
        <v>0</v>
      </c>
      <c r="E32" s="145" t="str">
        <f>IF(C32="","",VLOOKUP($C32,'individuel,'!$B$8:$W$60,4))</f>
        <v>F</v>
      </c>
      <c r="F32" s="145" t="str">
        <f>IF(C32="","",VLOOKUP($C32,'individuel,'!$B$8:$W$60,5))</f>
        <v>BIZEAU</v>
      </c>
      <c r="G32" s="145" t="str">
        <f>IF(C32="","",VLOOKUP($C32,'individuel,'!$B$8:$W$60,6))</f>
        <v>Alexine</v>
      </c>
      <c r="H32" s="145">
        <f>IF(C32="","",VLOOKUP($C32,'individuel,'!$B$8:$W$60,7))</f>
        <v>2007</v>
      </c>
      <c r="I32" s="146" t="str">
        <f>IF(C32="","",VLOOKUP($C32,'individuel,'!$B$8:$W$60,8))</f>
        <v>Cle Amiens</v>
      </c>
      <c r="J32" s="145" t="str">
        <f>IF(C32="","",VLOOKUP($C32,'individuel,'!$B$8:$W$60,9))</f>
        <v>FR</v>
      </c>
      <c r="K32" s="145">
        <f>IF(C32="","",VLOOKUP($C32,'individuel,'!$B$8:$W$60,14))</f>
        <v>63</v>
      </c>
      <c r="L32" s="145">
        <f>IF(C32="","",VLOOKUP($C32,'individuel,'!$B$8:$W$60,18))</f>
        <v>76</v>
      </c>
      <c r="M32" s="280">
        <f>IF(C32="","",VLOOKUP($C32,'individuel,'!$B$8:$W$60,19))</f>
        <v>139</v>
      </c>
      <c r="N32" s="145"/>
      <c r="O32" s="145"/>
      <c r="P32" s="284">
        <f>IF(C32="","",VLOOKUP($C32,'individuel,'!$B$8:$W$60,22))</f>
        <v>219.44958982175677</v>
      </c>
      <c r="Q32" s="170"/>
      <c r="R32" s="170"/>
      <c r="S32" s="148">
        <f t="shared" ref="S32:S34" si="3">IF(C32="","",IF(E32="h",P32,P32*1.5))</f>
        <v>329.17438473263519</v>
      </c>
      <c r="T32" s="149" t="s">
        <v>144</v>
      </c>
      <c r="U32" s="171"/>
      <c r="V32" s="150"/>
      <c r="W32" s="172"/>
    </row>
    <row r="33" spans="2:23" ht="16.2" thickBot="1" x14ac:dyDescent="0.3">
      <c r="B33" s="169"/>
      <c r="C33" s="145">
        <v>13</v>
      </c>
      <c r="D33" s="145">
        <f>IF(C33="","",VLOOKUP($C33,'individuel,'!$B$8:$W$60,3))</f>
        <v>0</v>
      </c>
      <c r="E33" s="145" t="str">
        <f>IF(C33="","",VLOOKUP($C33,'individuel,'!$B$8:$W$60,4))</f>
        <v>F</v>
      </c>
      <c r="F33" s="145" t="str">
        <f>IF(C33="","",VLOOKUP($C33,'individuel,'!$B$8:$W$60,5))</f>
        <v>ROUY</v>
      </c>
      <c r="G33" s="145" t="str">
        <f>IF(C33="","",VLOOKUP($C33,'individuel,'!$B$8:$W$60,6))</f>
        <v>Ilona</v>
      </c>
      <c r="H33" s="145">
        <f>IF(C33="","",VLOOKUP($C33,'individuel,'!$B$8:$W$60,7))</f>
        <v>2009</v>
      </c>
      <c r="I33" s="146" t="str">
        <f>IF(C33="","",VLOOKUP($C33,'individuel,'!$B$8:$W$60,8))</f>
        <v>Cle Amiens</v>
      </c>
      <c r="J33" s="145" t="str">
        <f>IF(C33="","",VLOOKUP($C33,'individuel,'!$B$8:$W$60,9))</f>
        <v>FR</v>
      </c>
      <c r="K33" s="145">
        <f>IF(C33="","",VLOOKUP($C33,'individuel,'!$B$8:$W$60,14))</f>
        <v>72</v>
      </c>
      <c r="L33" s="145">
        <f>IF(C33="","",VLOOKUP($C33,'individuel,'!$B$8:$W$60,18))</f>
        <v>0</v>
      </c>
      <c r="M33" s="280">
        <f>IF(C33="","",VLOOKUP($C33,'individuel,'!$B$8:$W$60,19))</f>
        <v>72</v>
      </c>
      <c r="N33" s="145"/>
      <c r="O33" s="145"/>
      <c r="P33" s="284">
        <f>IF(C33="","",VLOOKUP($C33,'individuel,'!$B$8:$W$60,22))</f>
        <v>87.250248990820992</v>
      </c>
      <c r="Q33" s="170"/>
      <c r="R33" s="170"/>
      <c r="S33" s="148">
        <f t="shared" si="3"/>
        <v>130.8753734862315</v>
      </c>
      <c r="T33" s="149" t="s">
        <v>144</v>
      </c>
      <c r="U33" s="171"/>
      <c r="V33" s="150"/>
      <c r="W33" s="172"/>
    </row>
    <row r="34" spans="2:23" ht="16.2" thickBot="1" x14ac:dyDescent="0.3">
      <c r="B34" s="169"/>
      <c r="C34" s="145">
        <v>101</v>
      </c>
      <c r="D34" s="145">
        <f>IF(C34="","",VLOOKUP($C34,'individuel,'!$B$8:$W$60,3))</f>
        <v>0</v>
      </c>
      <c r="E34" s="145" t="str">
        <f>IF(C34="","",VLOOKUP($C34,'individuel,'!$B$8:$W$60,4))</f>
        <v>H</v>
      </c>
      <c r="F34" s="145" t="str">
        <f>IF(C34="","",VLOOKUP($C34,'individuel,'!$B$8:$W$60,5))</f>
        <v>BOUKHARTA</v>
      </c>
      <c r="G34" s="145" t="str">
        <f>IF(C34="","",VLOOKUP($C34,'individuel,'!$B$8:$W$60,6))</f>
        <v>Zakaria</v>
      </c>
      <c r="H34" s="145">
        <f>IF(C34="","",VLOOKUP($C34,'individuel,'!$B$8:$W$60,7))</f>
        <v>2010</v>
      </c>
      <c r="I34" s="146" t="str">
        <f>IF(C34="","",VLOOKUP($C34,'individuel,'!$B$8:$W$60,8))</f>
        <v>Cle Amiens</v>
      </c>
      <c r="J34" s="145" t="str">
        <f>IF(C34="","",VLOOKUP($C34,'individuel,'!$B$8:$W$60,9))</f>
        <v>FR</v>
      </c>
      <c r="K34" s="145">
        <f>IF(C34="","",VLOOKUP($C34,'individuel,'!$B$8:$W$60,14))</f>
        <v>0</v>
      </c>
      <c r="L34" s="145">
        <f>IF(C34="","",VLOOKUP($C34,'individuel,'!$B$8:$W$60,18))</f>
        <v>80</v>
      </c>
      <c r="M34" s="280">
        <f>IF(C34="","",VLOOKUP($C34,'individuel,'!$B$8:$W$60,19))</f>
        <v>80</v>
      </c>
      <c r="N34" s="145"/>
      <c r="O34" s="145"/>
      <c r="P34" s="284">
        <f>IF(C34="","",VLOOKUP($C34,'individuel,'!$B$8:$W$60,22))</f>
        <v>125.33524368952713</v>
      </c>
      <c r="Q34" s="170"/>
      <c r="R34" s="170"/>
      <c r="S34" s="148">
        <f t="shared" si="3"/>
        <v>125.33524368952713</v>
      </c>
      <c r="T34" s="152" t="s">
        <v>144</v>
      </c>
      <c r="U34" s="171"/>
      <c r="V34" s="173"/>
      <c r="W34" s="172"/>
    </row>
    <row r="35" spans="2:23" ht="16.2" thickBot="1" x14ac:dyDescent="0.3">
      <c r="B35" s="174"/>
      <c r="C35" s="147">
        <v>110</v>
      </c>
      <c r="D35" s="145">
        <f>IF(C35="","",VLOOKUP($C35,'individuel,'!$B$8:$W$60,3))</f>
        <v>0</v>
      </c>
      <c r="E35" s="145" t="str">
        <f>IF(C35="","",VLOOKUP($C35,'individuel,'!$B$8:$W$60,4))</f>
        <v>H</v>
      </c>
      <c r="F35" s="145" t="str">
        <f>IF(C35="","",VLOOKUP($C35,'individuel,'!$B$8:$W$60,5))</f>
        <v>PEDRAK</v>
      </c>
      <c r="G35" s="145" t="str">
        <f>IF(C35="","",VLOOKUP($C35,'individuel,'!$B$8:$W$60,6))</f>
        <v>Benjamin</v>
      </c>
      <c r="H35" s="145">
        <f>IF(C35="","",VLOOKUP($C35,'individuel,'!$B$8:$W$60,7))</f>
        <v>1998</v>
      </c>
      <c r="I35" s="146" t="str">
        <f>IF(C35="","",VLOOKUP($C35,'individuel,'!$B$8:$W$60,8))</f>
        <v>Cle Amiens</v>
      </c>
      <c r="J35" s="145" t="str">
        <f>IF(C35="","",VLOOKUP($C35,'individuel,'!$B$8:$W$60,9))</f>
        <v>FR</v>
      </c>
      <c r="K35" s="145">
        <f>IF(C35="","",VLOOKUP($C35,'individuel,'!$B$8:$W$60,14))</f>
        <v>115</v>
      </c>
      <c r="L35" s="145">
        <f>IF(C35="","",VLOOKUP($C35,'individuel,'!$B$8:$W$60,18))</f>
        <v>135</v>
      </c>
      <c r="M35" s="280">
        <f>IF(C35="","",VLOOKUP($C35,'individuel,'!$B$8:$W$60,19))</f>
        <v>250</v>
      </c>
      <c r="N35" s="145"/>
      <c r="O35" s="145"/>
      <c r="P35" s="284">
        <f>IF(C35="","",VLOOKUP($C35,'individuel,'!$B$8:$W$60,22))</f>
        <v>351.33830728015909</v>
      </c>
      <c r="R35" s="153"/>
      <c r="S35" s="148">
        <f>IF(C35="","",IF(E35="h",P35,P35*1.5))</f>
        <v>351.33830728015909</v>
      </c>
      <c r="T35" s="155" t="s">
        <v>144</v>
      </c>
      <c r="W35" s="175"/>
    </row>
    <row r="36" spans="2:23" ht="17.399999999999999" x14ac:dyDescent="0.25">
      <c r="B36" s="174"/>
      <c r="M36" s="281"/>
      <c r="P36" s="285"/>
      <c r="R36" s="156" t="s">
        <v>145</v>
      </c>
      <c r="S36" s="158">
        <f>SUM(S32:S35)</f>
        <v>936.723309188553</v>
      </c>
      <c r="T36" s="157" t="s">
        <v>144</v>
      </c>
      <c r="V36" s="373">
        <f>RANK(S36,$Y$12:$Y$23)</f>
        <v>11</v>
      </c>
      <c r="W36" s="374"/>
    </row>
    <row r="37" spans="2:23" x14ac:dyDescent="0.25">
      <c r="B37" s="174"/>
      <c r="M37" s="281"/>
      <c r="P37" s="285"/>
      <c r="V37" s="375"/>
      <c r="W37" s="376"/>
    </row>
    <row r="38" spans="2:23" ht="16.2" thickBot="1" x14ac:dyDescent="0.3">
      <c r="B38" s="176"/>
      <c r="C38" s="177"/>
      <c r="D38" s="178"/>
      <c r="E38" s="177"/>
      <c r="F38" s="177"/>
      <c r="G38" s="177"/>
      <c r="H38" s="179"/>
      <c r="I38" s="180"/>
      <c r="J38" s="181"/>
      <c r="K38" s="182"/>
      <c r="L38" s="177"/>
      <c r="M38" s="282"/>
      <c r="N38" s="177"/>
      <c r="O38" s="183"/>
      <c r="P38" s="286"/>
      <c r="Q38" s="177"/>
      <c r="R38" s="177"/>
      <c r="S38" s="183"/>
      <c r="T38" s="183"/>
      <c r="U38" s="184"/>
      <c r="V38" s="377"/>
      <c r="W38" s="378"/>
    </row>
    <row r="39" spans="2:23" ht="16.2" thickBot="1" x14ac:dyDescent="0.3">
      <c r="B39" s="159" t="s">
        <v>146</v>
      </c>
      <c r="C39" s="160"/>
      <c r="D39" s="160" t="s">
        <v>147</v>
      </c>
      <c r="E39" s="160"/>
      <c r="F39" s="160"/>
      <c r="G39" s="161" t="s">
        <v>140</v>
      </c>
      <c r="H39" s="162"/>
      <c r="I39" s="163"/>
      <c r="J39" s="164"/>
      <c r="K39" s="165"/>
      <c r="L39" s="160"/>
      <c r="M39" s="283"/>
      <c r="N39" s="160"/>
      <c r="O39" s="161"/>
      <c r="P39" s="287"/>
      <c r="Q39" s="160"/>
      <c r="R39" s="161"/>
      <c r="S39" s="161" t="s">
        <v>143</v>
      </c>
      <c r="T39" s="161"/>
      <c r="U39" s="166"/>
      <c r="V39" s="167"/>
      <c r="W39" s="168"/>
    </row>
    <row r="40" spans="2:23" ht="16.2" thickBot="1" x14ac:dyDescent="0.3">
      <c r="B40" s="169"/>
      <c r="C40" s="145">
        <v>8</v>
      </c>
      <c r="D40" s="145">
        <f>IF(C40="","",VLOOKUP($C40,'individuel,'!$B$8:$W$60,3))</f>
        <v>0</v>
      </c>
      <c r="E40" s="145" t="str">
        <f>IF(C40="","",VLOOKUP($C40,'individuel,'!$B$8:$W$60,4))</f>
        <v>F</v>
      </c>
      <c r="F40" s="145" t="str">
        <f>IF(C40="","",VLOOKUP($C40,'individuel,'!$B$8:$W$60,5))</f>
        <v>RICHEVAUX</v>
      </c>
      <c r="G40" s="145" t="str">
        <f>IF(C40="","",VLOOKUP($C40,'individuel,'!$B$8:$W$60,6))</f>
        <v>Jade</v>
      </c>
      <c r="H40" s="145">
        <f>IF(C40="","",VLOOKUP($C40,'individuel,'!$B$8:$W$60,7))</f>
        <v>2009</v>
      </c>
      <c r="I40" s="146" t="str">
        <f>IF(C40="","",VLOOKUP($C40,'individuel,'!$B$8:$W$60,8))</f>
        <v>Franconville</v>
      </c>
      <c r="J40" s="145" t="str">
        <f>IF(C40="","",VLOOKUP($C40,'individuel,'!$B$8:$W$60,9))</f>
        <v>FR</v>
      </c>
      <c r="K40" s="145">
        <f>IF(C40="","",VLOOKUP($C40,'individuel,'!$B$8:$W$60,14))</f>
        <v>60</v>
      </c>
      <c r="L40" s="145">
        <f>IF(C40="","",VLOOKUP($C40,'individuel,'!$B$8:$W$60,18))</f>
        <v>75</v>
      </c>
      <c r="M40" s="280">
        <f>IF(C40="","",VLOOKUP($C40,'individuel,'!$B$8:$W$60,19))</f>
        <v>135</v>
      </c>
      <c r="N40" s="145"/>
      <c r="O40" s="145"/>
      <c r="P40" s="284">
        <f>IF(C40="","",VLOOKUP($C40,'individuel,'!$B$8:$W$60,22))</f>
        <v>185.13377763399458</v>
      </c>
      <c r="Q40" s="170"/>
      <c r="R40" s="170"/>
      <c r="S40" s="148">
        <f t="shared" ref="S40:S42" si="4">IF(C40="","",IF(E40="h",P40,P40*1.5))</f>
        <v>277.70066645099189</v>
      </c>
      <c r="T40" s="149" t="s">
        <v>144</v>
      </c>
      <c r="U40" s="171"/>
      <c r="V40" s="150"/>
      <c r="W40" s="172"/>
    </row>
    <row r="41" spans="2:23" ht="16.2" thickBot="1" x14ac:dyDescent="0.3">
      <c r="B41" s="169"/>
      <c r="C41" s="145">
        <v>11</v>
      </c>
      <c r="D41" s="145">
        <f>IF(C41="","",VLOOKUP($C41,'individuel,'!$B$8:$W$60,3))</f>
        <v>0</v>
      </c>
      <c r="E41" s="145" t="str">
        <f>IF(C41="","",VLOOKUP($C41,'individuel,'!$B$8:$W$60,4))</f>
        <v>F</v>
      </c>
      <c r="F41" s="145" t="str">
        <f>IF(C41="","",VLOOKUP($C41,'individuel,'!$B$8:$W$60,5))</f>
        <v>LUBIN</v>
      </c>
      <c r="G41" s="145" t="str">
        <f>IF(C41="","",VLOOKUP($C41,'individuel,'!$B$8:$W$60,6))</f>
        <v>Darnley</v>
      </c>
      <c r="H41" s="145">
        <f>IF(C41="","",VLOOKUP($C41,'individuel,'!$B$8:$W$60,7))</f>
        <v>2001</v>
      </c>
      <c r="I41" s="146" t="str">
        <f>IF(C41="","",VLOOKUP($C41,'individuel,'!$B$8:$W$60,8))</f>
        <v>Franconville</v>
      </c>
      <c r="J41" s="145" t="str">
        <f>IF(C41="","",VLOOKUP($C41,'individuel,'!$B$8:$W$60,9))</f>
        <v>FR</v>
      </c>
      <c r="K41" s="145">
        <f>IF(C41="","",VLOOKUP($C41,'individuel,'!$B$8:$W$60,14))</f>
        <v>78</v>
      </c>
      <c r="L41" s="145">
        <f>IF(C41="","",VLOOKUP($C41,'individuel,'!$B$8:$W$60,18))</f>
        <v>102</v>
      </c>
      <c r="M41" s="280">
        <f>IF(C41="","",VLOOKUP($C41,'individuel,'!$B$8:$W$60,19))</f>
        <v>180</v>
      </c>
      <c r="N41" s="145"/>
      <c r="O41" s="145"/>
      <c r="P41" s="284">
        <f>IF(C41="","",VLOOKUP($C41,'individuel,'!$B$8:$W$60,22))</f>
        <v>194.54231004502435</v>
      </c>
      <c r="Q41" s="170"/>
      <c r="R41" s="170"/>
      <c r="S41" s="148">
        <f t="shared" si="4"/>
        <v>291.81346506753653</v>
      </c>
      <c r="T41" s="149" t="s">
        <v>144</v>
      </c>
      <c r="U41" s="171"/>
      <c r="V41" s="150"/>
      <c r="W41" s="172"/>
    </row>
    <row r="42" spans="2:23" ht="16.2" thickBot="1" x14ac:dyDescent="0.3">
      <c r="B42" s="169"/>
      <c r="C42" s="145">
        <v>118</v>
      </c>
      <c r="D42" s="145">
        <f>IF(C42="","",VLOOKUP($C42,'individuel,'!$B$8:$W$60,3))</f>
        <v>0</v>
      </c>
      <c r="E42" s="145" t="str">
        <f>IF(C42="","",VLOOKUP($C42,'individuel,'!$B$8:$W$60,4))</f>
        <v>H</v>
      </c>
      <c r="F42" s="145" t="str">
        <f>IF(C42="","",VLOOKUP($C42,'individuel,'!$B$8:$W$60,5))</f>
        <v>COLOMBO</v>
      </c>
      <c r="G42" s="145" t="str">
        <f>IF(C42="","",VLOOKUP($C42,'individuel,'!$B$8:$W$60,6))</f>
        <v>Ludwig</v>
      </c>
      <c r="H42" s="145">
        <f>IF(C42="","",VLOOKUP($C42,'individuel,'!$B$8:$W$60,7))</f>
        <v>1995</v>
      </c>
      <c r="I42" s="146" t="str">
        <f>IF(C42="","",VLOOKUP($C42,'individuel,'!$B$8:$W$60,8))</f>
        <v>Franconville</v>
      </c>
      <c r="J42" s="145" t="str">
        <f>IF(C42="","",VLOOKUP($C42,'individuel,'!$B$8:$W$60,9))</f>
        <v>FR</v>
      </c>
      <c r="K42" s="145">
        <f>IF(C42="","",VLOOKUP($C42,'individuel,'!$B$8:$W$60,14))</f>
        <v>130</v>
      </c>
      <c r="L42" s="145">
        <f>IF(C42="","",VLOOKUP($C42,'individuel,'!$B$8:$W$60,18))</f>
        <v>156</v>
      </c>
      <c r="M42" s="280">
        <f>IF(C42="","",VLOOKUP($C42,'individuel,'!$B$8:$W$60,19))</f>
        <v>286</v>
      </c>
      <c r="N42" s="145"/>
      <c r="O42" s="145"/>
      <c r="P42" s="284">
        <f>IF(C42="","",VLOOKUP($C42,'individuel,'!$B$8:$W$60,22))</f>
        <v>352.72103531722564</v>
      </c>
      <c r="Q42" s="170"/>
      <c r="R42" s="170"/>
      <c r="S42" s="148">
        <f t="shared" si="4"/>
        <v>352.72103531722564</v>
      </c>
      <c r="T42" s="152" t="s">
        <v>144</v>
      </c>
      <c r="U42" s="171"/>
      <c r="V42" s="173"/>
      <c r="W42" s="172"/>
    </row>
    <row r="43" spans="2:23" ht="16.2" thickBot="1" x14ac:dyDescent="0.3">
      <c r="B43" s="174"/>
      <c r="C43" s="147">
        <v>119</v>
      </c>
      <c r="D43" s="145">
        <f>IF(C43="","",VLOOKUP($C43,'individuel,'!$B$8:$W$60,3))</f>
        <v>0</v>
      </c>
      <c r="E43" s="145" t="str">
        <f>IF(C43="","",VLOOKUP($C43,'individuel,'!$B$8:$W$60,4))</f>
        <v>H</v>
      </c>
      <c r="F43" s="145" t="str">
        <f>IF(C43="","",VLOOKUP($C43,'individuel,'!$B$8:$W$60,5))</f>
        <v>COLIN</v>
      </c>
      <c r="G43" s="145" t="str">
        <f>IF(C43="","",VLOOKUP($C43,'individuel,'!$B$8:$W$60,6))</f>
        <v>Thomas</v>
      </c>
      <c r="H43" s="145">
        <f>IF(C43="","",VLOOKUP($C43,'individuel,'!$B$8:$W$60,7))</f>
        <v>1992</v>
      </c>
      <c r="I43" s="146" t="str">
        <f>IF(C43="","",VLOOKUP($C43,'individuel,'!$B$8:$W$60,8))</f>
        <v>Franconville</v>
      </c>
      <c r="J43" s="145" t="str">
        <f>IF(C43="","",VLOOKUP($C43,'individuel,'!$B$8:$W$60,9))</f>
        <v>FR</v>
      </c>
      <c r="K43" s="145">
        <f>IF(C43="","",VLOOKUP($C43,'individuel,'!$B$8:$W$60,14))</f>
        <v>130</v>
      </c>
      <c r="L43" s="145">
        <f>IF(C43="","",VLOOKUP($C43,'individuel,'!$B$8:$W$60,18))</f>
        <v>158</v>
      </c>
      <c r="M43" s="280">
        <f>IF(C43="","",VLOOKUP($C43,'individuel,'!$B$8:$W$60,19))</f>
        <v>288</v>
      </c>
      <c r="N43" s="145"/>
      <c r="O43" s="145"/>
      <c r="P43" s="284">
        <f>IF(C43="","",VLOOKUP($C43,'individuel,'!$B$8:$W$60,22))</f>
        <v>352.78076309536038</v>
      </c>
      <c r="R43" s="153"/>
      <c r="S43" s="148">
        <f>IF(C43="","",IF(E43="h",P43,P43*1.5))</f>
        <v>352.78076309536038</v>
      </c>
      <c r="T43" s="155" t="s">
        <v>144</v>
      </c>
      <c r="W43" s="175"/>
    </row>
    <row r="44" spans="2:23" ht="17.399999999999999" x14ac:dyDescent="0.25">
      <c r="B44" s="174"/>
      <c r="M44" s="281"/>
      <c r="P44" s="285"/>
      <c r="R44" s="156" t="s">
        <v>145</v>
      </c>
      <c r="S44" s="158">
        <f>SUM(S40:S43)</f>
        <v>1275.0159299311144</v>
      </c>
      <c r="T44" s="157" t="s">
        <v>144</v>
      </c>
      <c r="V44" s="373">
        <f>RANK(S44,$Y$12:$Y$23)</f>
        <v>5</v>
      </c>
      <c r="W44" s="374"/>
    </row>
    <row r="45" spans="2:23" x14ac:dyDescent="0.25">
      <c r="B45" s="174"/>
      <c r="M45" s="281"/>
      <c r="P45" s="285"/>
      <c r="V45" s="375"/>
      <c r="W45" s="376"/>
    </row>
    <row r="46" spans="2:23" ht="16.2" thickBot="1" x14ac:dyDescent="0.3">
      <c r="B46" s="176"/>
      <c r="C46" s="177"/>
      <c r="D46" s="178"/>
      <c r="E46" s="177"/>
      <c r="F46" s="177"/>
      <c r="G46" s="177"/>
      <c r="H46" s="179"/>
      <c r="I46" s="180"/>
      <c r="J46" s="181"/>
      <c r="K46" s="182"/>
      <c r="L46" s="177"/>
      <c r="M46" s="282"/>
      <c r="N46" s="177"/>
      <c r="O46" s="183"/>
      <c r="P46" s="286"/>
      <c r="Q46" s="177"/>
      <c r="R46" s="177"/>
      <c r="S46" s="183"/>
      <c r="T46" s="183"/>
      <c r="U46" s="184"/>
      <c r="V46" s="377"/>
      <c r="W46" s="378"/>
    </row>
    <row r="47" spans="2:23" ht="16.2" thickBot="1" x14ac:dyDescent="0.3">
      <c r="B47" s="159" t="s">
        <v>146</v>
      </c>
      <c r="C47" s="160"/>
      <c r="D47" s="160" t="s">
        <v>147</v>
      </c>
      <c r="E47" s="160"/>
      <c r="F47" s="160"/>
      <c r="G47" s="161" t="s">
        <v>140</v>
      </c>
      <c r="H47" s="162"/>
      <c r="I47" s="163"/>
      <c r="J47" s="164"/>
      <c r="K47" s="165"/>
      <c r="L47" s="160"/>
      <c r="M47" s="283"/>
      <c r="N47" s="160"/>
      <c r="O47" s="161"/>
      <c r="P47" s="287"/>
      <c r="Q47" s="160"/>
      <c r="R47" s="161"/>
      <c r="S47" s="161" t="s">
        <v>143</v>
      </c>
      <c r="T47" s="161"/>
      <c r="U47" s="166"/>
      <c r="V47" s="167"/>
      <c r="W47" s="168"/>
    </row>
    <row r="48" spans="2:23" ht="16.2" thickBot="1" x14ac:dyDescent="0.3">
      <c r="B48" s="169"/>
      <c r="C48" s="145">
        <v>14</v>
      </c>
      <c r="D48" s="145">
        <f>IF(C48="","",VLOOKUP($C48,'individuel,'!$B$8:$W$60,3))</f>
        <v>0</v>
      </c>
      <c r="E48" s="145" t="str">
        <f>IF(C48="","",VLOOKUP($C48,'individuel,'!$B$8:$W$60,4))</f>
        <v>F</v>
      </c>
      <c r="F48" s="145" t="str">
        <f>IF(C48="","",VLOOKUP($C48,'individuel,'!$B$8:$W$60,5))</f>
        <v>COFFEY-O'CONNOR</v>
      </c>
      <c r="G48" s="145" t="str">
        <f>IF(C48="","",VLOOKUP($C48,'individuel,'!$B$8:$W$60,6))</f>
        <v>Molly</v>
      </c>
      <c r="H48" s="145">
        <f>IF(C48="","",VLOOKUP($C48,'individuel,'!$B$8:$W$60,7))</f>
        <v>2005</v>
      </c>
      <c r="I48" s="146" t="str">
        <f>IF(C48="","",VLOOKUP($C48,'individuel,'!$B$8:$W$60,8))</f>
        <v>Irlande</v>
      </c>
      <c r="J48" s="145" t="str">
        <f>IF(C48="","",VLOOKUP($C48,'individuel,'!$B$8:$W$60,9))</f>
        <v>IRL</v>
      </c>
      <c r="K48" s="145">
        <f>IF(C48="","",VLOOKUP($C48,'individuel,'!$B$8:$W$60,14))</f>
        <v>77</v>
      </c>
      <c r="L48" s="145">
        <f>IF(C48="","",VLOOKUP($C48,'individuel,'!$B$8:$W$60,18))</f>
        <v>98</v>
      </c>
      <c r="M48" s="280">
        <f>IF(C48="","",VLOOKUP($C48,'individuel,'!$B$8:$W$60,19))</f>
        <v>175</v>
      </c>
      <c r="N48" s="145"/>
      <c r="O48" s="145"/>
      <c r="P48" s="284">
        <f>IF(C48="","",VLOOKUP($C48,'individuel,'!$B$8:$W$60,22))</f>
        <v>225.36082714558728</v>
      </c>
      <c r="Q48" s="170"/>
      <c r="R48" s="170"/>
      <c r="S48" s="148">
        <f t="shared" ref="S48:S50" si="5">IF(C48="","",IF(E48="h",P48,P48*1.5))</f>
        <v>338.04124071838089</v>
      </c>
      <c r="T48" s="149" t="s">
        <v>144</v>
      </c>
      <c r="U48" s="171"/>
      <c r="V48" s="150"/>
      <c r="W48" s="172"/>
    </row>
    <row r="49" spans="2:23" ht="16.2" thickBot="1" x14ac:dyDescent="0.3">
      <c r="B49" s="169"/>
      <c r="C49" s="145">
        <v>17</v>
      </c>
      <c r="D49" s="145">
        <f>IF(C49="","",VLOOKUP($C49,'individuel,'!$B$8:$W$60,3))</f>
        <v>0</v>
      </c>
      <c r="E49" s="145" t="str">
        <f>IF(C49="","",VLOOKUP($C49,'individuel,'!$B$8:$W$60,4))</f>
        <v>f</v>
      </c>
      <c r="F49" s="145" t="str">
        <f>IF(C49="","",VLOOKUP($C49,'individuel,'!$B$8:$W$60,5))</f>
        <v>MEENAN</v>
      </c>
      <c r="G49" s="145" t="str">
        <f>IF(C49="","",VLOOKUP($C49,'individuel,'!$B$8:$W$60,6))</f>
        <v>Abby</v>
      </c>
      <c r="H49" s="145">
        <f>IF(C49="","",VLOOKUP($C49,'individuel,'!$B$8:$W$60,7))</f>
        <v>2002</v>
      </c>
      <c r="I49" s="146" t="str">
        <f>IF(C49="","",VLOOKUP($C49,'individuel,'!$B$8:$W$60,8))</f>
        <v>Irlande</v>
      </c>
      <c r="J49" s="145" t="str">
        <f>IF(C49="","",VLOOKUP($C49,'individuel,'!$B$8:$W$60,9))</f>
        <v>IRL</v>
      </c>
      <c r="K49" s="145">
        <f>IF(C49="","",VLOOKUP($C49,'individuel,'!$B$8:$W$60,14))</f>
        <v>76</v>
      </c>
      <c r="L49" s="145">
        <f>IF(C49="","",VLOOKUP($C49,'individuel,'!$B$8:$W$60,18))</f>
        <v>104</v>
      </c>
      <c r="M49" s="280">
        <f>IF(C49="","",VLOOKUP($C49,'individuel,'!$B$8:$W$60,19))</f>
        <v>180</v>
      </c>
      <c r="N49" s="145"/>
      <c r="O49" s="145"/>
      <c r="P49" s="284">
        <f>IF(C49="","",VLOOKUP($C49,'individuel,'!$B$8:$W$60,22))</f>
        <v>212.98250877271587</v>
      </c>
      <c r="Q49" s="170"/>
      <c r="R49" s="170"/>
      <c r="S49" s="148">
        <f t="shared" si="5"/>
        <v>319.47376315907383</v>
      </c>
      <c r="T49" s="149" t="s">
        <v>144</v>
      </c>
      <c r="U49" s="171"/>
      <c r="V49" s="150"/>
      <c r="W49" s="172"/>
    </row>
    <row r="50" spans="2:23" x14ac:dyDescent="0.25">
      <c r="B50" s="169"/>
      <c r="C50" s="145">
        <v>116</v>
      </c>
      <c r="D50" s="145">
        <f>IF(C50="","",VLOOKUP($C50,'individuel,'!$B$8:$W$60,3))</f>
        <v>0</v>
      </c>
      <c r="E50" s="145" t="str">
        <f>IF(C50="","",VLOOKUP($C50,'individuel,'!$B$8:$W$60,4))</f>
        <v>H</v>
      </c>
      <c r="F50" s="145" t="str">
        <f>IF(C50="","",VLOOKUP($C50,'individuel,'!$B$8:$W$60,5))</f>
        <v>KEARNEY</v>
      </c>
      <c r="G50" s="145" t="str">
        <f>IF(C50="","",VLOOKUP($C50,'individuel,'!$B$8:$W$60,6))</f>
        <v>Jack</v>
      </c>
      <c r="H50" s="145">
        <f>IF(C50="","",VLOOKUP($C50,'individuel,'!$B$8:$W$60,7))</f>
        <v>2005</v>
      </c>
      <c r="I50" s="146" t="str">
        <f>IF(C50="","",VLOOKUP($C50,'individuel,'!$B$8:$W$60,8))</f>
        <v>Irlande</v>
      </c>
      <c r="J50" s="145" t="str">
        <f>IF(C50="","",VLOOKUP($C50,'individuel,'!$B$8:$W$60,9))</f>
        <v>IRL</v>
      </c>
      <c r="K50" s="145">
        <f>IF(C50="","",VLOOKUP($C50,'individuel,'!$B$8:$W$60,14))</f>
        <v>118</v>
      </c>
      <c r="L50" s="145">
        <f>IF(C50="","",VLOOKUP($C50,'individuel,'!$B$8:$W$60,18))</f>
        <v>160</v>
      </c>
      <c r="M50" s="280">
        <f>IF(C50="","",VLOOKUP($C50,'individuel,'!$B$8:$W$60,19))</f>
        <v>278</v>
      </c>
      <c r="N50" s="145"/>
      <c r="O50" s="145"/>
      <c r="P50" s="284">
        <f>IF(C50="","",VLOOKUP($C50,'individuel,'!$B$8:$W$60,22))</f>
        <v>328.86313918109403</v>
      </c>
      <c r="Q50" s="170"/>
      <c r="R50" s="170"/>
      <c r="S50" s="151">
        <f t="shared" si="5"/>
        <v>328.86313918109403</v>
      </c>
      <c r="T50" s="152" t="s">
        <v>144</v>
      </c>
      <c r="U50" s="171"/>
      <c r="V50" s="173"/>
      <c r="W50" s="172"/>
    </row>
    <row r="51" spans="2:23" ht="16.2" thickBot="1" x14ac:dyDescent="0.3">
      <c r="B51" s="174"/>
      <c r="C51" s="147"/>
      <c r="D51" s="145" t="str">
        <f>IF(C51="","",VLOOKUP($C51,'individuel,'!$B$8:$W$60,3))</f>
        <v/>
      </c>
      <c r="E51" s="145" t="str">
        <f>IF(C51="","",VLOOKUP($C51,'individuel,'!$B$8:$W$60,4))</f>
        <v/>
      </c>
      <c r="F51" s="145" t="str">
        <f>IF(C51="","",VLOOKUP($C51,'individuel,'!$B$8:$W$60,5))</f>
        <v/>
      </c>
      <c r="G51" s="145" t="str">
        <f>IF(C51="","",VLOOKUP($C51,'individuel,'!$B$8:$W$60,6))</f>
        <v/>
      </c>
      <c r="H51" s="145" t="str">
        <f>IF(C51="","",VLOOKUP($C51,'individuel,'!$B$8:$W$60,7))</f>
        <v/>
      </c>
      <c r="I51" s="146" t="str">
        <f>IF(C51="","",VLOOKUP($C51,'individuel,'!$B$8:$W$60,8))</f>
        <v/>
      </c>
      <c r="J51" s="145" t="str">
        <f>IF(C51="","",VLOOKUP($C51,'individuel,'!$B$8:$W$60,9))</f>
        <v/>
      </c>
      <c r="K51" s="145" t="str">
        <f>IF(C51="","",VLOOKUP($C51,'individuel,'!$B$8:$W$60,14))</f>
        <v/>
      </c>
      <c r="L51" s="145" t="str">
        <f>IF(C51="","",VLOOKUP($C51,'individuel,'!$B$8:$W$60,18))</f>
        <v/>
      </c>
      <c r="M51" s="280" t="str">
        <f>IF(C51="","",VLOOKUP($C51,'individuel,'!$B$8:$W$60,19))</f>
        <v/>
      </c>
      <c r="N51" s="145"/>
      <c r="O51" s="145"/>
      <c r="P51" s="284" t="str">
        <f>IF(C51="","",VLOOKUP($C51,'individuel,'!$B$8:$W$60,22))</f>
        <v/>
      </c>
      <c r="R51" s="153"/>
      <c r="S51" s="154" t="str">
        <f>IF(C51="","",IF(E51="h",P51,P51*1.5))</f>
        <v/>
      </c>
      <c r="T51" s="155" t="s">
        <v>144</v>
      </c>
      <c r="W51" s="175"/>
    </row>
    <row r="52" spans="2:23" ht="17.399999999999999" x14ac:dyDescent="0.25">
      <c r="B52" s="174"/>
      <c r="M52" s="281"/>
      <c r="P52" s="285"/>
      <c r="R52" s="156" t="s">
        <v>145</v>
      </c>
      <c r="S52" s="158">
        <f>SUM(S48:S51)</f>
        <v>986.37814305854886</v>
      </c>
      <c r="T52" s="157" t="s">
        <v>144</v>
      </c>
      <c r="V52" s="373">
        <f>RANK(S52,$Y$12:$Y$23)</f>
        <v>10</v>
      </c>
      <c r="W52" s="374"/>
    </row>
    <row r="53" spans="2:23" x14ac:dyDescent="0.25">
      <c r="B53" s="174"/>
      <c r="M53" s="281"/>
      <c r="P53" s="285"/>
      <c r="V53" s="375"/>
      <c r="W53" s="376"/>
    </row>
    <row r="54" spans="2:23" ht="16.2" thickBot="1" x14ac:dyDescent="0.3">
      <c r="B54" s="176"/>
      <c r="C54" s="177"/>
      <c r="D54" s="178"/>
      <c r="E54" s="177"/>
      <c r="F54" s="177"/>
      <c r="G54" s="177"/>
      <c r="H54" s="179"/>
      <c r="I54" s="180"/>
      <c r="J54" s="181"/>
      <c r="K54" s="182"/>
      <c r="L54" s="177"/>
      <c r="M54" s="282"/>
      <c r="N54" s="177"/>
      <c r="O54" s="183"/>
      <c r="P54" s="286"/>
      <c r="Q54" s="177"/>
      <c r="R54" s="177"/>
      <c r="S54" s="183"/>
      <c r="T54" s="183"/>
      <c r="U54" s="184"/>
      <c r="V54" s="377"/>
      <c r="W54" s="378"/>
    </row>
    <row r="55" spans="2:23" ht="16.2" thickBot="1" x14ac:dyDescent="0.3">
      <c r="B55" s="159" t="s">
        <v>146</v>
      </c>
      <c r="C55" s="160"/>
      <c r="D55" s="160" t="s">
        <v>147</v>
      </c>
      <c r="E55" s="160"/>
      <c r="F55" s="160"/>
      <c r="G55" s="161" t="s">
        <v>140</v>
      </c>
      <c r="H55" s="162"/>
      <c r="I55" s="163"/>
      <c r="J55" s="164"/>
      <c r="K55" s="165"/>
      <c r="L55" s="160"/>
      <c r="M55" s="283"/>
      <c r="N55" s="160"/>
      <c r="O55" s="161"/>
      <c r="P55" s="287"/>
      <c r="Q55" s="160"/>
      <c r="R55" s="161"/>
      <c r="S55" s="161" t="s">
        <v>143</v>
      </c>
      <c r="T55" s="161"/>
      <c r="U55" s="166"/>
      <c r="V55" s="167"/>
      <c r="W55" s="168"/>
    </row>
    <row r="56" spans="2:23" ht="16.2" thickBot="1" x14ac:dyDescent="0.3">
      <c r="B56" s="169"/>
      <c r="C56" s="145"/>
      <c r="D56" s="145" t="str">
        <f>IF(C56="","",VLOOKUP($C56,'individuel,'!$B$8:$W$60,3))</f>
        <v/>
      </c>
      <c r="E56" s="145" t="str">
        <f>IF(C56="","",VLOOKUP($C56,'individuel,'!$B$8:$W$60,4))</f>
        <v/>
      </c>
      <c r="F56" s="145" t="str">
        <f>IF(C56="","",VLOOKUP($C56,'individuel,'!$B$8:$W$60,5))</f>
        <v/>
      </c>
      <c r="G56" s="145" t="str">
        <f>IF(C56="","",VLOOKUP($C56,'individuel,'!$B$8:$W$60,6))</f>
        <v/>
      </c>
      <c r="H56" s="145" t="str">
        <f>IF(C56="","",VLOOKUP($C56,'individuel,'!$B$8:$W$60,7))</f>
        <v/>
      </c>
      <c r="I56" s="146" t="str">
        <f>IF(C56="","",VLOOKUP($C56,'individuel,'!$B$8:$W$60,8))</f>
        <v/>
      </c>
      <c r="J56" s="145" t="str">
        <f>IF(C56="","",VLOOKUP($C56,'individuel,'!$B$8:$W$60,9))</f>
        <v/>
      </c>
      <c r="K56" s="145" t="str">
        <f>IF(C56="","",VLOOKUP($C56,'individuel,'!$B$8:$W$60,14))</f>
        <v/>
      </c>
      <c r="L56" s="145" t="str">
        <f>IF(C56="","",VLOOKUP($C56,'individuel,'!$B$8:$W$60,18))</f>
        <v/>
      </c>
      <c r="M56" s="280" t="str">
        <f>IF(C56="","",VLOOKUP($C56,'individuel,'!$B$8:$W$60,19))</f>
        <v/>
      </c>
      <c r="N56" s="145"/>
      <c r="O56" s="145"/>
      <c r="P56" s="284" t="str">
        <f>IF(C56="","",VLOOKUP($C56,'individuel,'!$B$8:$W$60,22))</f>
        <v/>
      </c>
      <c r="Q56" s="170"/>
      <c r="R56" s="170"/>
      <c r="S56" s="148" t="str">
        <f t="shared" ref="S56:S58" si="6">IF(C56="","",IF(E56="h",P56,P56*1.5))</f>
        <v/>
      </c>
      <c r="T56" s="149" t="s">
        <v>144</v>
      </c>
      <c r="U56" s="171"/>
      <c r="V56" s="150"/>
      <c r="W56" s="172"/>
    </row>
    <row r="57" spans="2:23" ht="16.2" thickBot="1" x14ac:dyDescent="0.3">
      <c r="B57" s="169"/>
      <c r="C57" s="145">
        <v>21</v>
      </c>
      <c r="D57" s="145">
        <f>IF(C57="","",VLOOKUP($C57,'individuel,'!$B$8:$W$60,3))</f>
        <v>0</v>
      </c>
      <c r="E57" s="145" t="str">
        <f>IF(C57="","",VLOOKUP($C57,'individuel,'!$B$8:$W$60,4))</f>
        <v>F</v>
      </c>
      <c r="F57" s="145" t="str">
        <f>IF(C57="","",VLOOKUP($C57,'individuel,'!$B$8:$W$60,5))</f>
        <v>VAN BEERS</v>
      </c>
      <c r="G57" s="145" t="str">
        <f>IF(C57="","",VLOOKUP($C57,'individuel,'!$B$8:$W$60,6))</f>
        <v>Roos</v>
      </c>
      <c r="H57" s="145">
        <f>IF(C57="","",VLOOKUP($C57,'individuel,'!$B$8:$W$60,7))</f>
        <v>2007</v>
      </c>
      <c r="I57" s="146" t="str">
        <f>IF(C57="","",VLOOKUP($C57,'individuel,'!$B$8:$W$60,8))</f>
        <v xml:space="preserve">Belgique 2 </v>
      </c>
      <c r="J57" s="145" t="str">
        <f>IF(C57="","",VLOOKUP($C57,'individuel,'!$B$8:$W$60,9))</f>
        <v>BEL</v>
      </c>
      <c r="K57" s="145">
        <f>IF(C57="","",VLOOKUP($C57,'individuel,'!$B$8:$W$60,14))</f>
        <v>92</v>
      </c>
      <c r="L57" s="145">
        <f>IF(C57="","",VLOOKUP($C57,'individuel,'!$B$8:$W$60,18))</f>
        <v>100</v>
      </c>
      <c r="M57" s="280">
        <f>IF(C57="","",VLOOKUP($C57,'individuel,'!$B$8:$W$60,19))</f>
        <v>192</v>
      </c>
      <c r="N57" s="145"/>
      <c r="O57" s="145"/>
      <c r="P57" s="284">
        <f>IF(C57="","",VLOOKUP($C57,'individuel,'!$B$8:$W$60,22))</f>
        <v>230.90012676677691</v>
      </c>
      <c r="Q57" s="170"/>
      <c r="R57" s="170"/>
      <c r="S57" s="148">
        <f t="shared" si="6"/>
        <v>346.35019015016536</v>
      </c>
      <c r="T57" s="149" t="s">
        <v>144</v>
      </c>
      <c r="U57" s="171"/>
      <c r="V57" s="150"/>
      <c r="W57" s="172"/>
    </row>
    <row r="58" spans="2:23" x14ac:dyDescent="0.25">
      <c r="B58" s="169"/>
      <c r="C58" s="145">
        <v>109</v>
      </c>
      <c r="D58" s="145">
        <f>IF(C58="","",VLOOKUP($C58,'individuel,'!$B$8:$W$60,3))</f>
        <v>0</v>
      </c>
      <c r="E58" s="145" t="str">
        <f>IF(C58="","",VLOOKUP($C58,'individuel,'!$B$8:$W$60,4))</f>
        <v>H</v>
      </c>
      <c r="F58" s="145" t="str">
        <f>IF(C58="","",VLOOKUP($C58,'individuel,'!$B$8:$W$60,5))</f>
        <v>AYDOGAN</v>
      </c>
      <c r="G58" s="145" t="str">
        <f>IF(C58="","",VLOOKUP($C58,'individuel,'!$B$8:$W$60,6))</f>
        <v>Atilla</v>
      </c>
      <c r="H58" s="145">
        <f>IF(C58="","",VLOOKUP($C58,'individuel,'!$B$8:$W$60,7))</f>
        <v>2005</v>
      </c>
      <c r="I58" s="146" t="str">
        <f>IF(C58="","",VLOOKUP($C58,'individuel,'!$B$8:$W$60,8))</f>
        <v>Belgique 2</v>
      </c>
      <c r="J58" s="145" t="str">
        <f>IF(C58="","",VLOOKUP($C58,'individuel,'!$B$8:$W$60,9))</f>
        <v>BEL</v>
      </c>
      <c r="K58" s="145">
        <f>IF(C58="","",VLOOKUP($C58,'individuel,'!$B$8:$W$60,14))</f>
        <v>105</v>
      </c>
      <c r="L58" s="145">
        <f>IF(C58="","",VLOOKUP($C58,'individuel,'!$B$8:$W$60,18))</f>
        <v>127</v>
      </c>
      <c r="M58" s="280">
        <f>IF(C58="","",VLOOKUP($C58,'individuel,'!$B$8:$W$60,19))</f>
        <v>232</v>
      </c>
      <c r="N58" s="145"/>
      <c r="O58" s="145"/>
      <c r="P58" s="284">
        <f>IF(C58="","",VLOOKUP($C58,'individuel,'!$B$8:$W$60,22))</f>
        <v>331.85369094858066</v>
      </c>
      <c r="Q58" s="170"/>
      <c r="R58" s="170"/>
      <c r="S58" s="151">
        <f t="shared" si="6"/>
        <v>331.85369094858066</v>
      </c>
      <c r="T58" s="152" t="s">
        <v>144</v>
      </c>
      <c r="U58" s="171"/>
      <c r="V58" s="173"/>
      <c r="W58" s="172"/>
    </row>
    <row r="59" spans="2:23" ht="16.2" thickBot="1" x14ac:dyDescent="0.3">
      <c r="B59" s="174"/>
      <c r="C59" s="147">
        <v>113</v>
      </c>
      <c r="D59" s="145">
        <f>IF(C59="","",VLOOKUP($C59,'individuel,'!$B$8:$W$60,3))</f>
        <v>0</v>
      </c>
      <c r="E59" s="145" t="str">
        <f>IF(C59="","",VLOOKUP($C59,'individuel,'!$B$8:$W$60,4))</f>
        <v>H</v>
      </c>
      <c r="F59" s="145" t="str">
        <f>IF(C59="","",VLOOKUP($C59,'individuel,'!$B$8:$W$60,5))</f>
        <v>COUCHARD</v>
      </c>
      <c r="G59" s="145" t="str">
        <f>IF(C59="","",VLOOKUP($C59,'individuel,'!$B$8:$W$60,6))</f>
        <v>Robin</v>
      </c>
      <c r="H59" s="145">
        <f>IF(C59="","",VLOOKUP($C59,'individuel,'!$B$8:$W$60,7))</f>
        <v>2000</v>
      </c>
      <c r="I59" s="146" t="str">
        <f>IF(C59="","",VLOOKUP($C59,'individuel,'!$B$8:$W$60,8))</f>
        <v>Belgique 2</v>
      </c>
      <c r="J59" s="145" t="str">
        <f>IF(C59="","",VLOOKUP($C59,'individuel,'!$B$8:$W$60,9))</f>
        <v>BEL</v>
      </c>
      <c r="K59" s="145">
        <f>IF(C59="","",VLOOKUP($C59,'individuel,'!$B$8:$W$60,14))</f>
        <v>121</v>
      </c>
      <c r="L59" s="145">
        <f>IF(C59="","",VLOOKUP($C59,'individuel,'!$B$8:$W$60,18))</f>
        <v>143</v>
      </c>
      <c r="M59" s="280">
        <f>IF(C59="","",VLOOKUP($C59,'individuel,'!$B$8:$W$60,19))</f>
        <v>264</v>
      </c>
      <c r="N59" s="145"/>
      <c r="O59" s="145"/>
      <c r="P59" s="284">
        <f>IF(C59="","",VLOOKUP($C59,'individuel,'!$B$8:$W$60,22))</f>
        <v>339.37343893370996</v>
      </c>
      <c r="R59" s="153"/>
      <c r="S59" s="154">
        <f>IF(C59="","",IF(E59="h",P59,P59*1.5))</f>
        <v>339.37343893370996</v>
      </c>
      <c r="T59" s="155" t="s">
        <v>144</v>
      </c>
      <c r="W59" s="175"/>
    </row>
    <row r="60" spans="2:23" ht="17.399999999999999" x14ac:dyDescent="0.25">
      <c r="B60" s="174"/>
      <c r="M60" s="281"/>
      <c r="P60" s="285"/>
      <c r="R60" s="156" t="s">
        <v>145</v>
      </c>
      <c r="S60" s="158">
        <f>SUM(S56:S59)</f>
        <v>1017.577320032456</v>
      </c>
      <c r="T60" s="157" t="s">
        <v>144</v>
      </c>
      <c r="V60" s="373">
        <f>RANK(S60,$Y$12:$Y$23)</f>
        <v>9</v>
      </c>
      <c r="W60" s="374"/>
    </row>
    <row r="61" spans="2:23" x14ac:dyDescent="0.25">
      <c r="B61" s="174"/>
      <c r="M61" s="281"/>
      <c r="P61" s="285"/>
      <c r="V61" s="375"/>
      <c r="W61" s="376"/>
    </row>
    <row r="62" spans="2:23" ht="16.2" thickBot="1" x14ac:dyDescent="0.3">
      <c r="B62" s="176"/>
      <c r="C62" s="177"/>
      <c r="D62" s="178"/>
      <c r="E62" s="177"/>
      <c r="F62" s="177"/>
      <c r="G62" s="177"/>
      <c r="H62" s="179"/>
      <c r="I62" s="180"/>
      <c r="J62" s="181"/>
      <c r="K62" s="182"/>
      <c r="L62" s="177"/>
      <c r="M62" s="282"/>
      <c r="N62" s="177"/>
      <c r="O62" s="183"/>
      <c r="P62" s="286"/>
      <c r="Q62" s="177"/>
      <c r="R62" s="177"/>
      <c r="S62" s="183"/>
      <c r="T62" s="183"/>
      <c r="U62" s="184"/>
      <c r="V62" s="377"/>
      <c r="W62" s="378"/>
    </row>
    <row r="63" spans="2:23" ht="16.2" thickBot="1" x14ac:dyDescent="0.3">
      <c r="B63" s="159" t="s">
        <v>146</v>
      </c>
      <c r="C63" s="160"/>
      <c r="D63" s="160" t="s">
        <v>147</v>
      </c>
      <c r="E63" s="160"/>
      <c r="F63" s="160"/>
      <c r="G63" s="161" t="s">
        <v>140</v>
      </c>
      <c r="H63" s="162"/>
      <c r="I63" s="163"/>
      <c r="J63" s="164"/>
      <c r="K63" s="165"/>
      <c r="L63" s="160"/>
      <c r="M63" s="283"/>
      <c r="N63" s="160"/>
      <c r="O63" s="161"/>
      <c r="P63" s="287"/>
      <c r="Q63" s="160"/>
      <c r="R63" s="161"/>
      <c r="S63" s="161" t="s">
        <v>143</v>
      </c>
      <c r="T63" s="161"/>
      <c r="U63" s="166"/>
      <c r="V63" s="167"/>
      <c r="W63" s="168"/>
    </row>
    <row r="64" spans="2:23" ht="16.2" thickBot="1" x14ac:dyDescent="0.3">
      <c r="B64" s="169"/>
      <c r="C64" s="145">
        <v>19</v>
      </c>
      <c r="D64" s="145">
        <f>IF(C64="","",VLOOKUP($C64,'individuel,'!$B$8:$W$60,3))</f>
        <v>0</v>
      </c>
      <c r="E64" s="145" t="str">
        <f>IF(C64="","",VLOOKUP($C64,'individuel,'!$B$8:$W$60,4))</f>
        <v>F</v>
      </c>
      <c r="F64" s="145" t="str">
        <f>IF(C64="","",VLOOKUP($C64,'individuel,'!$B$8:$W$60,5))</f>
        <v>VANDENABEELE</v>
      </c>
      <c r="G64" s="145" t="str">
        <f>IF(C64="","",VLOOKUP($C64,'individuel,'!$B$8:$W$60,6))</f>
        <v>Annelien</v>
      </c>
      <c r="H64" s="145">
        <f>IF(C64="","",VLOOKUP($C64,'individuel,'!$B$8:$W$60,7))</f>
        <v>2004</v>
      </c>
      <c r="I64" s="146" t="str">
        <f>IF(C64="","",VLOOKUP($C64,'individuel,'!$B$8:$W$60,8))</f>
        <v>Belgique 1</v>
      </c>
      <c r="J64" s="145" t="str">
        <f>IF(C64="","",VLOOKUP($C64,'individuel,'!$B$8:$W$60,9))</f>
        <v>BEL</v>
      </c>
      <c r="K64" s="145">
        <f>IF(C64="","",VLOOKUP($C64,'individuel,'!$B$8:$W$60,14))</f>
        <v>84</v>
      </c>
      <c r="L64" s="145">
        <f>IF(C64="","",VLOOKUP($C64,'individuel,'!$B$8:$W$60,18))</f>
        <v>104</v>
      </c>
      <c r="M64" s="280">
        <f>IF(C64="","",VLOOKUP($C64,'individuel,'!$B$8:$W$60,19))</f>
        <v>188</v>
      </c>
      <c r="N64" s="145"/>
      <c r="O64" s="145"/>
      <c r="P64" s="284">
        <f>IF(C64="","",VLOOKUP($C64,'individuel,'!$B$8:$W$60,22))</f>
        <v>252.59813268144222</v>
      </c>
      <c r="Q64" s="170"/>
      <c r="R64" s="170"/>
      <c r="S64" s="148">
        <f t="shared" ref="S64:S66" si="7">IF(C64="","",IF(E64="h",P64,P64*1.5))</f>
        <v>378.89719902216336</v>
      </c>
      <c r="T64" s="149" t="s">
        <v>144</v>
      </c>
      <c r="U64" s="171"/>
      <c r="V64" s="150"/>
      <c r="W64" s="172"/>
    </row>
    <row r="65" spans="2:23" ht="16.2" thickBot="1" x14ac:dyDescent="0.3">
      <c r="B65" s="169"/>
      <c r="C65" s="145">
        <v>24</v>
      </c>
      <c r="D65" s="145">
        <f>IF(C65="","",VLOOKUP($C65,'individuel,'!$B$8:$W$60,3))</f>
        <v>0</v>
      </c>
      <c r="E65" s="145" t="str">
        <f>IF(C65="","",VLOOKUP($C65,'individuel,'!$B$8:$W$60,4))</f>
        <v>F</v>
      </c>
      <c r="F65" s="145" t="str">
        <f>IF(C65="","",VLOOKUP($C65,'individuel,'!$B$8:$W$60,5))</f>
        <v>LAGROU</v>
      </c>
      <c r="G65" s="145" t="str">
        <f>IF(C65="","",VLOOKUP($C65,'individuel,'!$B$8:$W$60,6))</f>
        <v>Ilke</v>
      </c>
      <c r="H65" s="145">
        <f>IF(C65="","",VLOOKUP($C65,'individuel,'!$B$8:$W$60,7))</f>
        <v>1998</v>
      </c>
      <c r="I65" s="146" t="str">
        <f>IF(C65="","",VLOOKUP($C65,'individuel,'!$B$8:$W$60,8))</f>
        <v>Belgique 1</v>
      </c>
      <c r="J65" s="145" t="str">
        <f>IF(C65="","",VLOOKUP($C65,'individuel,'!$B$8:$W$60,9))</f>
        <v>BEL</v>
      </c>
      <c r="K65" s="145">
        <f>IF(C65="","",VLOOKUP($C65,'individuel,'!$B$8:$W$60,14))</f>
        <v>111</v>
      </c>
      <c r="L65" s="145">
        <f>IF(C65="","",VLOOKUP($C65,'individuel,'!$B$8:$W$60,18))</f>
        <v>130</v>
      </c>
      <c r="M65" s="280">
        <f>IF(C65="","",VLOOKUP($C65,'individuel,'!$B$8:$W$60,19))</f>
        <v>241</v>
      </c>
      <c r="N65" s="145"/>
      <c r="O65" s="145"/>
      <c r="P65" s="284">
        <f>IF(C65="","",VLOOKUP($C65,'individuel,'!$B$8:$W$60,22))</f>
        <v>262.1811704940697</v>
      </c>
      <c r="Q65" s="170"/>
      <c r="R65" s="170"/>
      <c r="S65" s="148">
        <f t="shared" si="7"/>
        <v>393.27175574110458</v>
      </c>
      <c r="T65" s="149" t="s">
        <v>144</v>
      </c>
      <c r="U65" s="171"/>
      <c r="V65" s="150"/>
      <c r="W65" s="172"/>
    </row>
    <row r="66" spans="2:23" x14ac:dyDescent="0.25">
      <c r="B66" s="169"/>
      <c r="C66" s="145">
        <v>115</v>
      </c>
      <c r="D66" s="145">
        <f>IF(C66="","",VLOOKUP($C66,'individuel,'!$B$8:$W$60,3))</f>
        <v>0</v>
      </c>
      <c r="E66" s="145" t="str">
        <f>IF(C66="","",VLOOKUP($C66,'individuel,'!$B$8:$W$60,4))</f>
        <v>H</v>
      </c>
      <c r="F66" s="145" t="str">
        <f>IF(C66="","",VLOOKUP($C66,'individuel,'!$B$8:$W$60,5))</f>
        <v>PETERS</v>
      </c>
      <c r="G66" s="145" t="str">
        <f>IF(C66="","",VLOOKUP($C66,'individuel,'!$B$8:$W$60,6))</f>
        <v>Loric</v>
      </c>
      <c r="H66" s="145">
        <f>IF(C66="","",VLOOKUP($C66,'individuel,'!$B$8:$W$60,7))</f>
        <v>2000</v>
      </c>
      <c r="I66" s="146" t="str">
        <f>IF(C66="","",VLOOKUP($C66,'individuel,'!$B$8:$W$60,8))</f>
        <v>Belgique 1</v>
      </c>
      <c r="J66" s="145" t="str">
        <f>IF(C66="","",VLOOKUP($C66,'individuel,'!$B$8:$W$60,9))</f>
        <v>BEL</v>
      </c>
      <c r="K66" s="145">
        <f>IF(C66="","",VLOOKUP($C66,'individuel,'!$B$8:$W$60,14))</f>
        <v>120</v>
      </c>
      <c r="L66" s="145">
        <f>IF(C66="","",VLOOKUP($C66,'individuel,'!$B$8:$W$60,18))</f>
        <v>152</v>
      </c>
      <c r="M66" s="280">
        <f>IF(C66="","",VLOOKUP($C66,'individuel,'!$B$8:$W$60,19))</f>
        <v>272</v>
      </c>
      <c r="N66" s="145"/>
      <c r="O66" s="145"/>
      <c r="P66" s="284">
        <f>IF(C66="","",VLOOKUP($C66,'individuel,'!$B$8:$W$60,22))</f>
        <v>351.66925943846491</v>
      </c>
      <c r="Q66" s="170"/>
      <c r="R66" s="170"/>
      <c r="S66" s="151">
        <f t="shared" si="7"/>
        <v>351.66925943846491</v>
      </c>
      <c r="T66" s="152" t="s">
        <v>144</v>
      </c>
      <c r="U66" s="171"/>
      <c r="V66" s="173"/>
      <c r="W66" s="172"/>
    </row>
    <row r="67" spans="2:23" ht="16.2" thickBot="1" x14ac:dyDescent="0.3">
      <c r="B67" s="174"/>
      <c r="C67" s="147">
        <v>121</v>
      </c>
      <c r="D67" s="145">
        <f>IF(C67="","",VLOOKUP($C67,'individuel,'!$B$8:$W$60,3))</f>
        <v>0</v>
      </c>
      <c r="E67" s="145" t="str">
        <f>IF(C67="","",VLOOKUP($C67,'individuel,'!$B$8:$W$60,4))</f>
        <v>H</v>
      </c>
      <c r="F67" s="145" t="str">
        <f>IF(C67="","",VLOOKUP($C67,'individuel,'!$B$8:$W$60,5))</f>
        <v>SUNGU</v>
      </c>
      <c r="G67" s="145" t="str">
        <f>IF(C67="","",VLOOKUP($C67,'individuel,'!$B$8:$W$60,6))</f>
        <v>Burak</v>
      </c>
      <c r="H67" s="145">
        <f>IF(C67="","",VLOOKUP($C67,'individuel,'!$B$8:$W$60,7))</f>
        <v>1997</v>
      </c>
      <c r="I67" s="146" t="str">
        <f>IF(C67="","",VLOOKUP($C67,'individuel,'!$B$8:$W$60,8))</f>
        <v>Belgique 1</v>
      </c>
      <c r="J67" s="145" t="str">
        <f>IF(C67="","",VLOOKUP($C67,'individuel,'!$B$8:$W$60,9))</f>
        <v>BEL</v>
      </c>
      <c r="K67" s="145">
        <f>IF(C67="","",VLOOKUP($C67,'individuel,'!$B$8:$W$60,14))</f>
        <v>154</v>
      </c>
      <c r="L67" s="145">
        <f>IF(C67="","",VLOOKUP($C67,'individuel,'!$B$8:$W$60,18))</f>
        <v>175</v>
      </c>
      <c r="M67" s="280">
        <f>IF(C67="","",VLOOKUP($C67,'individuel,'!$B$8:$W$60,19))</f>
        <v>329</v>
      </c>
      <c r="N67" s="145"/>
      <c r="O67" s="145"/>
      <c r="P67" s="284">
        <f>IF(C67="","",VLOOKUP($C67,'individuel,'!$B$8:$W$60,22))</f>
        <v>381.62281080213785</v>
      </c>
      <c r="R67" s="153"/>
      <c r="S67" s="154">
        <f>IF(C67="","",IF(E67="h",P67,P67*1.5))</f>
        <v>381.62281080213785</v>
      </c>
      <c r="T67" s="155" t="s">
        <v>144</v>
      </c>
      <c r="W67" s="175"/>
    </row>
    <row r="68" spans="2:23" ht="17.399999999999999" x14ac:dyDescent="0.25">
      <c r="B68" s="174"/>
      <c r="M68" s="281"/>
      <c r="P68" s="285"/>
      <c r="R68" s="156" t="s">
        <v>145</v>
      </c>
      <c r="S68" s="158">
        <f>SUM(S64:S67)</f>
        <v>1505.4610250038706</v>
      </c>
      <c r="T68" s="157" t="s">
        <v>144</v>
      </c>
      <c r="V68" s="373">
        <f>RANK(S68,$Y$12:$Y$23)</f>
        <v>1</v>
      </c>
      <c r="W68" s="374"/>
    </row>
    <row r="69" spans="2:23" x14ac:dyDescent="0.25">
      <c r="B69" s="174"/>
      <c r="M69" s="281"/>
      <c r="P69" s="285"/>
      <c r="V69" s="375"/>
      <c r="W69" s="376"/>
    </row>
    <row r="70" spans="2:23" ht="16.2" thickBot="1" x14ac:dyDescent="0.3">
      <c r="B70" s="176"/>
      <c r="C70" s="177"/>
      <c r="D70" s="178"/>
      <c r="E70" s="177"/>
      <c r="F70" s="177"/>
      <c r="G70" s="177"/>
      <c r="H70" s="179"/>
      <c r="I70" s="180"/>
      <c r="J70" s="181"/>
      <c r="K70" s="182"/>
      <c r="L70" s="177"/>
      <c r="M70" s="282"/>
      <c r="N70" s="177"/>
      <c r="O70" s="183"/>
      <c r="P70" s="286"/>
      <c r="Q70" s="177"/>
      <c r="R70" s="177"/>
      <c r="S70" s="183"/>
      <c r="T70" s="183"/>
      <c r="U70" s="184"/>
      <c r="V70" s="377"/>
      <c r="W70" s="378"/>
    </row>
    <row r="71" spans="2:23" ht="16.2" thickBot="1" x14ac:dyDescent="0.3">
      <c r="B71" s="159" t="s">
        <v>146</v>
      </c>
      <c r="C71" s="160"/>
      <c r="D71" s="160" t="s">
        <v>147</v>
      </c>
      <c r="E71" s="160"/>
      <c r="F71" s="160"/>
      <c r="G71" s="161" t="s">
        <v>140</v>
      </c>
      <c r="H71" s="162"/>
      <c r="I71" s="163"/>
      <c r="J71" s="164"/>
      <c r="K71" s="165"/>
      <c r="L71" s="160"/>
      <c r="M71" s="283"/>
      <c r="N71" s="160"/>
      <c r="O71" s="161"/>
      <c r="P71" s="287"/>
      <c r="Q71" s="160"/>
      <c r="R71" s="161"/>
      <c r="S71" s="161" t="s">
        <v>143</v>
      </c>
      <c r="T71" s="161"/>
      <c r="U71" s="166"/>
      <c r="V71" s="167"/>
      <c r="W71" s="168"/>
    </row>
    <row r="72" spans="2:23" ht="16.2" thickBot="1" x14ac:dyDescent="0.3">
      <c r="B72" s="169"/>
      <c r="C72" s="145">
        <v>9</v>
      </c>
      <c r="D72" s="145">
        <f>IF(C72="","",VLOOKUP($C72,'individuel,'!$B$8:$W$60,3))</f>
        <v>0</v>
      </c>
      <c r="E72" s="145" t="str">
        <f>IF(C72="","",VLOOKUP($C72,'individuel,'!$B$8:$W$60,4))</f>
        <v>F</v>
      </c>
      <c r="F72" s="145" t="str">
        <f>IF(C72="","",VLOOKUP($C72,'individuel,'!$B$8:$W$60,5))</f>
        <v>SAINT MAXENT</v>
      </c>
      <c r="G72" s="145" t="str">
        <f>IF(C72="","",VLOOKUP($C72,'individuel,'!$B$8:$W$60,6))</f>
        <v>Manon</v>
      </c>
      <c r="H72" s="145">
        <f>IF(C72="","",VLOOKUP($C72,'individuel,'!$B$8:$W$60,7))</f>
        <v>1994</v>
      </c>
      <c r="I72" s="146" t="str">
        <f>IF(C72="","",VLOOKUP($C72,'individuel,'!$B$8:$W$60,8))</f>
        <v>Comines</v>
      </c>
      <c r="J72" s="145" t="str">
        <f>IF(C72="","",VLOOKUP($C72,'individuel,'!$B$8:$W$60,9))</f>
        <v>FR</v>
      </c>
      <c r="K72" s="145">
        <f>IF(C72="","",VLOOKUP($C72,'individuel,'!$B$8:$W$60,14))</f>
        <v>65</v>
      </c>
      <c r="L72" s="145">
        <f>IF(C72="","",VLOOKUP($C72,'individuel,'!$B$8:$W$60,18))</f>
        <v>81</v>
      </c>
      <c r="M72" s="280">
        <f>IF(C72="","",VLOOKUP($C72,'individuel,'!$B$8:$W$60,19))</f>
        <v>146</v>
      </c>
      <c r="N72" s="145"/>
      <c r="O72" s="145"/>
      <c r="P72" s="284">
        <f>IF(C72="","",VLOOKUP($C72,'individuel,'!$B$8:$W$60,22))</f>
        <v>216.19344172475877</v>
      </c>
      <c r="Q72" s="170"/>
      <c r="R72" s="170"/>
      <c r="S72" s="148">
        <f t="shared" ref="S72:S74" si="8">IF(C72="","",IF(E72="h",P72,P72*1.5))</f>
        <v>324.29016258713818</v>
      </c>
      <c r="T72" s="149" t="s">
        <v>144</v>
      </c>
      <c r="U72" s="171"/>
      <c r="V72" s="150"/>
      <c r="W72" s="172"/>
    </row>
    <row r="73" spans="2:23" ht="16.2" thickBot="1" x14ac:dyDescent="0.3">
      <c r="B73" s="169"/>
      <c r="C73" s="145">
        <v>12</v>
      </c>
      <c r="D73" s="145">
        <f>IF(C73="","",VLOOKUP($C73,'individuel,'!$B$8:$W$60,3))</f>
        <v>0</v>
      </c>
      <c r="E73" s="145" t="str">
        <f>IF(C73="","",VLOOKUP($C73,'individuel,'!$B$8:$W$60,4))</f>
        <v>F</v>
      </c>
      <c r="F73" s="145" t="str">
        <f>IF(C73="","",VLOOKUP($C73,'individuel,'!$B$8:$W$60,5))</f>
        <v>ESTEOULLE</v>
      </c>
      <c r="G73" s="145" t="str">
        <f>IF(C73="","",VLOOKUP($C73,'individuel,'!$B$8:$W$60,6))</f>
        <v>Chloé</v>
      </c>
      <c r="H73" s="145">
        <f>IF(C73="","",VLOOKUP($C73,'individuel,'!$B$8:$W$60,7))</f>
        <v>2001</v>
      </c>
      <c r="I73" s="146" t="str">
        <f>IF(C73="","",VLOOKUP($C73,'individuel,'!$B$8:$W$60,8))</f>
        <v>Comines</v>
      </c>
      <c r="J73" s="145" t="str">
        <f>IF(C73="","",VLOOKUP($C73,'individuel,'!$B$8:$W$60,9))</f>
        <v>FR</v>
      </c>
      <c r="K73" s="145">
        <f>IF(C73="","",VLOOKUP($C73,'individuel,'!$B$8:$W$60,14))</f>
        <v>70</v>
      </c>
      <c r="L73" s="145">
        <f>IF(C73="","",VLOOKUP($C73,'individuel,'!$B$8:$W$60,18))</f>
        <v>85</v>
      </c>
      <c r="M73" s="280">
        <f>IF(C73="","",VLOOKUP($C73,'individuel,'!$B$8:$W$60,19))</f>
        <v>155</v>
      </c>
      <c r="N73" s="145"/>
      <c r="O73" s="145"/>
      <c r="P73" s="284">
        <f>IF(C73="","",VLOOKUP($C73,'individuel,'!$B$8:$W$60,22))</f>
        <v>229.74438866807503</v>
      </c>
      <c r="Q73" s="170"/>
      <c r="R73" s="170"/>
      <c r="S73" s="148">
        <f t="shared" si="8"/>
        <v>344.61658300211252</v>
      </c>
      <c r="T73" s="149" t="s">
        <v>144</v>
      </c>
      <c r="U73" s="171"/>
      <c r="V73" s="150"/>
      <c r="W73" s="172"/>
    </row>
    <row r="74" spans="2:23" x14ac:dyDescent="0.25">
      <c r="B74" s="169"/>
      <c r="C74" s="145">
        <v>105</v>
      </c>
      <c r="D74" s="145">
        <f>IF(C74="","",VLOOKUP($C74,'individuel,'!$B$8:$W$60,3))</f>
        <v>0</v>
      </c>
      <c r="E74" s="145" t="str">
        <f>IF(C74="","",VLOOKUP($C74,'individuel,'!$B$8:$W$60,4))</f>
        <v>H</v>
      </c>
      <c r="F74" s="145" t="str">
        <f>IF(C74="","",VLOOKUP($C74,'individuel,'!$B$8:$W$60,5))</f>
        <v>BEYER</v>
      </c>
      <c r="G74" s="145" t="str">
        <f>IF(C74="","",VLOOKUP($C74,'individuel,'!$B$8:$W$60,6))</f>
        <v>Antoine</v>
      </c>
      <c r="H74" s="145">
        <f>IF(C74="","",VLOOKUP($C74,'individuel,'!$B$8:$W$60,7))</f>
        <v>1994</v>
      </c>
      <c r="I74" s="146" t="str">
        <f>IF(C74="","",VLOOKUP($C74,'individuel,'!$B$8:$W$60,8))</f>
        <v>Comines</v>
      </c>
      <c r="J74" s="145" t="str">
        <f>IF(C74="","",VLOOKUP($C74,'individuel,'!$B$8:$W$60,9))</f>
        <v>FR</v>
      </c>
      <c r="K74" s="145">
        <f>IF(C74="","",VLOOKUP($C74,'individuel,'!$B$8:$W$60,14))</f>
        <v>92</v>
      </c>
      <c r="L74" s="145">
        <f>IF(C74="","",VLOOKUP($C74,'individuel,'!$B$8:$W$60,18))</f>
        <v>107</v>
      </c>
      <c r="M74" s="280">
        <f>IF(C74="","",VLOOKUP($C74,'individuel,'!$B$8:$W$60,19))</f>
        <v>199</v>
      </c>
      <c r="N74" s="145"/>
      <c r="O74" s="145"/>
      <c r="P74" s="284">
        <f>IF(C74="","",VLOOKUP($C74,'individuel,'!$B$8:$W$60,22))</f>
        <v>278.86751993276613</v>
      </c>
      <c r="Q74" s="170"/>
      <c r="R74" s="170"/>
      <c r="S74" s="151">
        <f t="shared" si="8"/>
        <v>278.86751993276613</v>
      </c>
      <c r="T74" s="152" t="s">
        <v>144</v>
      </c>
      <c r="U74" s="171"/>
      <c r="V74" s="173"/>
      <c r="W74" s="172"/>
    </row>
    <row r="75" spans="2:23" ht="16.2" thickBot="1" x14ac:dyDescent="0.3">
      <c r="B75" s="174"/>
      <c r="C75" s="147">
        <v>112</v>
      </c>
      <c r="D75" s="145">
        <f>IF(C75="","",VLOOKUP($C75,'individuel,'!$B$8:$W$60,3))</f>
        <v>0</v>
      </c>
      <c r="E75" s="145" t="str">
        <f>IF(C75="","",VLOOKUP($C75,'individuel,'!$B$8:$W$60,4))</f>
        <v>H</v>
      </c>
      <c r="F75" s="145" t="str">
        <f>IF(C75="","",VLOOKUP($C75,'individuel,'!$B$8:$W$60,5))</f>
        <v>BUYSSHAERT</v>
      </c>
      <c r="G75" s="145" t="str">
        <f>IF(C75="","",VLOOKUP($C75,'individuel,'!$B$8:$W$60,6))</f>
        <v>Tristan</v>
      </c>
      <c r="H75" s="145">
        <f>IF(C75="","",VLOOKUP($C75,'individuel,'!$B$8:$W$60,7))</f>
        <v>2003</v>
      </c>
      <c r="I75" s="146" t="str">
        <f>IF(C75="","",VLOOKUP($C75,'individuel,'!$B$8:$W$60,8))</f>
        <v>Comines</v>
      </c>
      <c r="J75" s="145" t="str">
        <f>IF(C75="","",VLOOKUP($C75,'individuel,'!$B$8:$W$60,9))</f>
        <v>FR</v>
      </c>
      <c r="K75" s="145">
        <f>IF(C75="","",VLOOKUP($C75,'individuel,'!$B$8:$W$60,14))</f>
        <v>122</v>
      </c>
      <c r="L75" s="145">
        <f>IF(C75="","",VLOOKUP($C75,'individuel,'!$B$8:$W$60,18))</f>
        <v>135</v>
      </c>
      <c r="M75" s="280">
        <f>IF(C75="","",VLOOKUP($C75,'individuel,'!$B$8:$W$60,19))</f>
        <v>257</v>
      </c>
      <c r="N75" s="145"/>
      <c r="O75" s="145"/>
      <c r="P75" s="284">
        <f>IF(C75="","",VLOOKUP($C75,'individuel,'!$B$8:$W$60,22))</f>
        <v>327.95686043098971</v>
      </c>
      <c r="R75" s="153"/>
      <c r="S75" s="154">
        <f>IF(C75="","",IF(E75="h",P75,P75*1.5))</f>
        <v>327.95686043098971</v>
      </c>
      <c r="T75" s="155" t="s">
        <v>144</v>
      </c>
      <c r="W75" s="175"/>
    </row>
    <row r="76" spans="2:23" ht="17.399999999999999" x14ac:dyDescent="0.25">
      <c r="B76" s="174"/>
      <c r="M76" s="281"/>
      <c r="P76" s="285"/>
      <c r="R76" s="156" t="s">
        <v>145</v>
      </c>
      <c r="S76" s="158">
        <f>SUM(S72:S75)</f>
        <v>1275.7311259530065</v>
      </c>
      <c r="T76" s="157" t="s">
        <v>144</v>
      </c>
      <c r="V76" s="373">
        <f>RANK(S76,$Y$12:$Y$23)</f>
        <v>4</v>
      </c>
      <c r="W76" s="374"/>
    </row>
    <row r="77" spans="2:23" x14ac:dyDescent="0.25">
      <c r="B77" s="174"/>
      <c r="M77" s="281"/>
      <c r="P77" s="285"/>
      <c r="V77" s="375"/>
      <c r="W77" s="376"/>
    </row>
    <row r="78" spans="2:23" ht="16.2" thickBot="1" x14ac:dyDescent="0.3">
      <c r="B78" s="176"/>
      <c r="C78" s="177"/>
      <c r="D78" s="178"/>
      <c r="E78" s="177"/>
      <c r="F78" s="177"/>
      <c r="G78" s="177"/>
      <c r="H78" s="179"/>
      <c r="I78" s="180"/>
      <c r="J78" s="181"/>
      <c r="K78" s="182"/>
      <c r="L78" s="177"/>
      <c r="M78" s="282"/>
      <c r="N78" s="177"/>
      <c r="O78" s="183"/>
      <c r="P78" s="286"/>
      <c r="Q78" s="177"/>
      <c r="R78" s="177"/>
      <c r="S78" s="183"/>
      <c r="T78" s="183"/>
      <c r="U78" s="184"/>
      <c r="V78" s="377"/>
      <c r="W78" s="378"/>
    </row>
    <row r="79" spans="2:23" ht="16.2" thickBot="1" x14ac:dyDescent="0.3">
      <c r="B79" s="159" t="s">
        <v>146</v>
      </c>
      <c r="C79" s="160"/>
      <c r="D79" s="160" t="s">
        <v>147</v>
      </c>
      <c r="E79" s="160"/>
      <c r="F79" s="160"/>
      <c r="G79" s="161" t="s">
        <v>140</v>
      </c>
      <c r="H79" s="162"/>
      <c r="I79" s="163"/>
      <c r="J79" s="164"/>
      <c r="K79" s="165"/>
      <c r="L79" s="160"/>
      <c r="M79" s="283"/>
      <c r="N79" s="160"/>
      <c r="O79" s="161"/>
      <c r="P79" s="287"/>
      <c r="Q79" s="160"/>
      <c r="R79" s="161"/>
      <c r="S79" s="161" t="s">
        <v>143</v>
      </c>
      <c r="T79" s="161"/>
      <c r="U79" s="166"/>
      <c r="V79" s="167"/>
      <c r="W79" s="168"/>
    </row>
    <row r="80" spans="2:23" ht="16.2" thickBot="1" x14ac:dyDescent="0.3">
      <c r="B80" s="169"/>
      <c r="C80" s="145">
        <v>10</v>
      </c>
      <c r="D80" s="145">
        <f>IF(C80="","",VLOOKUP($C80,'individuel,'!$B$8:$W$60,3))</f>
        <v>0</v>
      </c>
      <c r="E80" s="145" t="str">
        <f>IF(C80="","",VLOOKUP($C80,'individuel,'!$B$8:$W$60,4))</f>
        <v>F</v>
      </c>
      <c r="F80" s="145" t="str">
        <f>IF(C80="","",VLOOKUP($C80,'individuel,'!$B$8:$W$60,5))</f>
        <v>BOKALO</v>
      </c>
      <c r="G80" s="145" t="str">
        <f>IF(C80="","",VLOOKUP($C80,'individuel,'!$B$8:$W$60,6))</f>
        <v>Antonina</v>
      </c>
      <c r="H80" s="145">
        <f>IF(C80="","",VLOOKUP($C80,'individuel,'!$B$8:$W$60,7))</f>
        <v>2008</v>
      </c>
      <c r="I80" s="146" t="str">
        <f>IF(C80="","",VLOOKUP($C80,'individuel,'!$B$8:$W$60,8))</f>
        <v>Ukraine</v>
      </c>
      <c r="J80" s="145" t="str">
        <f>IF(C80="","",VLOOKUP($C80,'individuel,'!$B$8:$W$60,9))</f>
        <v>UKR</v>
      </c>
      <c r="K80" s="145">
        <f>IF(C80="","",VLOOKUP($C80,'individuel,'!$B$8:$W$60,14))</f>
        <v>71</v>
      </c>
      <c r="L80" s="145">
        <f>IF(C80="","",VLOOKUP($C80,'individuel,'!$B$8:$W$60,18))</f>
        <v>88</v>
      </c>
      <c r="M80" s="280">
        <f>IF(C80="","",VLOOKUP($C80,'individuel,'!$B$8:$W$60,19))</f>
        <v>159</v>
      </c>
      <c r="N80" s="145"/>
      <c r="O80" s="145"/>
      <c r="P80" s="284">
        <f>IF(C80="","",VLOOKUP($C80,'individuel,'!$B$8:$W$60,22))</f>
        <v>211.53135220638168</v>
      </c>
      <c r="Q80" s="170"/>
      <c r="R80" s="170"/>
      <c r="S80" s="148">
        <f t="shared" ref="S80:S82" si="9">IF(C80="","",IF(E80="h",P80,P80*1.5))</f>
        <v>317.29702830957251</v>
      </c>
      <c r="T80" s="149" t="s">
        <v>144</v>
      </c>
      <c r="U80" s="171"/>
      <c r="V80" s="150"/>
      <c r="W80" s="172"/>
    </row>
    <row r="81" spans="2:23" ht="16.2" thickBot="1" x14ac:dyDescent="0.3">
      <c r="B81" s="169"/>
      <c r="C81" s="145">
        <v>20</v>
      </c>
      <c r="D81" s="145">
        <f>IF(C81="","",VLOOKUP($C81,'individuel,'!$B$8:$W$60,3))</f>
        <v>0</v>
      </c>
      <c r="E81" s="145" t="str">
        <f>IF(C81="","",VLOOKUP($C81,'individuel,'!$B$8:$W$60,4))</f>
        <v>F</v>
      </c>
      <c r="F81" s="145" t="str">
        <f>IF(C81="","",VLOOKUP($C81,'individuel,'!$B$8:$W$60,5))</f>
        <v>MYSHOVETS</v>
      </c>
      <c r="G81" s="145" t="str">
        <f>IF(C81="","",VLOOKUP($C81,'individuel,'!$B$8:$W$60,6))</f>
        <v>Sofia</v>
      </c>
      <c r="H81" s="145">
        <f>IF(C81="","",VLOOKUP($C81,'individuel,'!$B$8:$W$60,7))</f>
        <v>2010</v>
      </c>
      <c r="I81" s="146" t="str">
        <f>IF(C81="","",VLOOKUP($C81,'individuel,'!$B$8:$W$60,8))</f>
        <v>Ukraine</v>
      </c>
      <c r="J81" s="145" t="str">
        <f>IF(C81="","",VLOOKUP($C81,'individuel,'!$B$8:$W$60,9))</f>
        <v>UKR</v>
      </c>
      <c r="K81" s="145">
        <f>IF(C81="","",VLOOKUP($C81,'individuel,'!$B$8:$W$60,14))</f>
        <v>77</v>
      </c>
      <c r="L81" s="145">
        <f>IF(C81="","",VLOOKUP($C81,'individuel,'!$B$8:$W$60,18))</f>
        <v>100</v>
      </c>
      <c r="M81" s="280">
        <f>IF(C81="","",VLOOKUP($C81,'individuel,'!$B$8:$W$60,19))</f>
        <v>177</v>
      </c>
      <c r="N81" s="145"/>
      <c r="O81" s="145"/>
      <c r="P81" s="284">
        <f>IF(C81="","",VLOOKUP($C81,'individuel,'!$B$8:$W$60,22))</f>
        <v>186.70648957173458</v>
      </c>
      <c r="Q81" s="170"/>
      <c r="R81" s="170"/>
      <c r="S81" s="148">
        <f t="shared" si="9"/>
        <v>280.05973435760188</v>
      </c>
      <c r="T81" s="149" t="s">
        <v>144</v>
      </c>
      <c r="U81" s="171"/>
      <c r="V81" s="150"/>
      <c r="W81" s="172"/>
    </row>
    <row r="82" spans="2:23" x14ac:dyDescent="0.25">
      <c r="B82" s="169"/>
      <c r="C82" s="145">
        <v>108</v>
      </c>
      <c r="D82" s="145">
        <f>IF(C82="","",VLOOKUP($C82,'individuel,'!$B$8:$W$60,3))</f>
        <v>0</v>
      </c>
      <c r="E82" s="145" t="str">
        <f>IF(C82="","",VLOOKUP($C82,'individuel,'!$B$8:$W$60,4))</f>
        <v>H</v>
      </c>
      <c r="F82" s="145" t="str">
        <f>IF(C82="","",VLOOKUP($C82,'individuel,'!$B$8:$W$60,5))</f>
        <v>KUZOVLEV</v>
      </c>
      <c r="G82" s="145" t="str">
        <f>IF(C82="","",VLOOKUP($C82,'individuel,'!$B$8:$W$60,6))</f>
        <v>Oleksandr</v>
      </c>
      <c r="H82" s="145">
        <f>IF(C82="","",VLOOKUP($C82,'individuel,'!$B$8:$W$60,7))</f>
        <v>2008</v>
      </c>
      <c r="I82" s="146" t="str">
        <f>IF(C82="","",VLOOKUP($C82,'individuel,'!$B$8:$W$60,8))</f>
        <v>Ukraine</v>
      </c>
      <c r="J82" s="145" t="str">
        <f>IF(C82="","",VLOOKUP($C82,'individuel,'!$B$8:$W$60,9))</f>
        <v>UKR</v>
      </c>
      <c r="K82" s="145">
        <f>IF(C82="","",VLOOKUP($C82,'individuel,'!$B$8:$W$60,14))</f>
        <v>93</v>
      </c>
      <c r="L82" s="145">
        <f>IF(C82="","",VLOOKUP($C82,'individuel,'!$B$8:$W$60,18))</f>
        <v>115</v>
      </c>
      <c r="M82" s="280">
        <f>IF(C82="","",VLOOKUP($C82,'individuel,'!$B$8:$W$60,19))</f>
        <v>208</v>
      </c>
      <c r="N82" s="145"/>
      <c r="O82" s="145"/>
      <c r="P82" s="284">
        <f>IF(C82="","",VLOOKUP($C82,'individuel,'!$B$8:$W$60,22))</f>
        <v>279.10453225151497</v>
      </c>
      <c r="Q82" s="170"/>
      <c r="R82" s="170"/>
      <c r="S82" s="151">
        <f t="shared" si="9"/>
        <v>279.10453225151497</v>
      </c>
      <c r="T82" s="152" t="s">
        <v>144</v>
      </c>
      <c r="U82" s="171"/>
      <c r="V82" s="173"/>
      <c r="W82" s="172"/>
    </row>
    <row r="83" spans="2:23" ht="16.2" thickBot="1" x14ac:dyDescent="0.3">
      <c r="B83" s="174"/>
      <c r="C83" s="147">
        <v>120</v>
      </c>
      <c r="D83" s="145">
        <f>IF(C83="","",VLOOKUP($C83,'individuel,'!$B$8:$W$60,3))</f>
        <v>0</v>
      </c>
      <c r="E83" s="145" t="str">
        <f>IF(C83="","",VLOOKUP($C83,'individuel,'!$B$8:$W$60,4))</f>
        <v>H</v>
      </c>
      <c r="F83" s="145" t="str">
        <f>IF(C83="","",VLOOKUP($C83,'individuel,'!$B$8:$W$60,5))</f>
        <v>SHOLOMINSKYI</v>
      </c>
      <c r="G83" s="145" t="str">
        <f>IF(C83="","",VLOOKUP($C83,'individuel,'!$B$8:$W$60,6))</f>
        <v>Vitalii</v>
      </c>
      <c r="H83" s="145">
        <f>IF(C83="","",VLOOKUP($C83,'individuel,'!$B$8:$W$60,7))</f>
        <v>2007</v>
      </c>
      <c r="I83" s="146" t="str">
        <f>IF(C83="","",VLOOKUP($C83,'individuel,'!$B$8:$W$60,8))</f>
        <v>Ukraine</v>
      </c>
      <c r="J83" s="145" t="str">
        <f>IF(C83="","",VLOOKUP($C83,'individuel,'!$B$8:$W$60,9))</f>
        <v>UKR</v>
      </c>
      <c r="K83" s="145">
        <f>IF(C83="","",VLOOKUP($C83,'individuel,'!$B$8:$W$60,14))</f>
        <v>118</v>
      </c>
      <c r="L83" s="145">
        <f>IF(C83="","",VLOOKUP($C83,'individuel,'!$B$8:$W$60,18))</f>
        <v>130</v>
      </c>
      <c r="M83" s="280">
        <f>IF(C83="","",VLOOKUP($C83,'individuel,'!$B$8:$W$60,19))</f>
        <v>248</v>
      </c>
      <c r="N83" s="145"/>
      <c r="O83" s="145"/>
      <c r="P83" s="284">
        <f>IF(C83="","",VLOOKUP($C83,'individuel,'!$B$8:$W$60,22))</f>
        <v>307.62658155259425</v>
      </c>
      <c r="R83" s="153"/>
      <c r="S83" s="154">
        <f>IF(C83="","",IF(E83="h",P83,P83*1.5))</f>
        <v>307.62658155259425</v>
      </c>
      <c r="T83" s="155" t="s">
        <v>144</v>
      </c>
      <c r="W83" s="175"/>
    </row>
    <row r="84" spans="2:23" ht="17.399999999999999" x14ac:dyDescent="0.25">
      <c r="B84" s="174"/>
      <c r="M84" s="281"/>
      <c r="P84" s="285"/>
      <c r="R84" s="156" t="s">
        <v>145</v>
      </c>
      <c r="S84" s="158">
        <f>SUM(S80:S83)</f>
        <v>1184.0878764712836</v>
      </c>
      <c r="T84" s="157" t="s">
        <v>144</v>
      </c>
      <c r="V84" s="373">
        <f>RANK(S84,$Y$12:$Y$23)</f>
        <v>7</v>
      </c>
      <c r="W84" s="374"/>
    </row>
    <row r="85" spans="2:23" x14ac:dyDescent="0.25">
      <c r="B85" s="174"/>
      <c r="M85" s="281"/>
      <c r="P85" s="285"/>
      <c r="V85" s="375"/>
      <c r="W85" s="376"/>
    </row>
    <row r="86" spans="2:23" ht="16.2" thickBot="1" x14ac:dyDescent="0.3">
      <c r="B86" s="176"/>
      <c r="C86" s="177"/>
      <c r="D86" s="178"/>
      <c r="E86" s="177"/>
      <c r="F86" s="177"/>
      <c r="G86" s="177"/>
      <c r="H86" s="179"/>
      <c r="I86" s="180"/>
      <c r="J86" s="181"/>
      <c r="K86" s="182"/>
      <c r="L86" s="177"/>
      <c r="M86" s="282"/>
      <c r="N86" s="177"/>
      <c r="O86" s="183"/>
      <c r="P86" s="286"/>
      <c r="Q86" s="177"/>
      <c r="R86" s="177"/>
      <c r="S86" s="183"/>
      <c r="T86" s="183"/>
      <c r="U86" s="184"/>
      <c r="V86" s="377"/>
      <c r="W86" s="378"/>
    </row>
    <row r="87" spans="2:23" ht="16.2" thickBot="1" x14ac:dyDescent="0.3">
      <c r="B87" s="159" t="s">
        <v>146</v>
      </c>
      <c r="C87" s="160"/>
      <c r="D87" s="160" t="s">
        <v>147</v>
      </c>
      <c r="E87" s="160"/>
      <c r="F87" s="160"/>
      <c r="G87" s="161" t="s">
        <v>140</v>
      </c>
      <c r="H87" s="162"/>
      <c r="I87" s="163"/>
      <c r="J87" s="164"/>
      <c r="K87" s="165"/>
      <c r="L87" s="160"/>
      <c r="M87" s="283"/>
      <c r="N87" s="160"/>
      <c r="O87" s="161"/>
      <c r="P87" s="287"/>
      <c r="Q87" s="160"/>
      <c r="R87" s="161"/>
      <c r="S87" s="161" t="s">
        <v>143</v>
      </c>
      <c r="T87" s="161"/>
      <c r="U87" s="166"/>
      <c r="V87" s="167"/>
      <c r="W87" s="168"/>
    </row>
    <row r="88" spans="2:23" ht="16.2" thickBot="1" x14ac:dyDescent="0.3">
      <c r="B88" s="169"/>
      <c r="C88" s="145">
        <v>3</v>
      </c>
      <c r="D88" s="145">
        <f>IF(C88="","",VLOOKUP($C88,'individuel,'!$B$8:$W$60,3))</f>
        <v>0</v>
      </c>
      <c r="E88" s="145" t="str">
        <f>IF(C88="","",VLOOKUP($C88,'individuel,'!$B$8:$W$60,4))</f>
        <v>F</v>
      </c>
      <c r="F88" s="145" t="str">
        <f>IF(C88="","",VLOOKUP($C88,'individuel,'!$B$8:$W$60,5))</f>
        <v>NSEGMA</v>
      </c>
      <c r="G88" s="145" t="str">
        <f>IF(C88="","",VLOOKUP($C88,'individuel,'!$B$8:$W$60,6))</f>
        <v>Maelle</v>
      </c>
      <c r="H88" s="145">
        <f>IF(C88="","",VLOOKUP($C88,'individuel,'!$B$8:$W$60,7))</f>
        <v>2008</v>
      </c>
      <c r="I88" s="146" t="str">
        <f>IF(C88="","",VLOOKUP($C88,'individuel,'!$B$8:$W$60,8))</f>
        <v>Espoir cominois</v>
      </c>
      <c r="J88" s="145" t="str">
        <f>IF(C88="","",VLOOKUP($C88,'individuel,'!$B$8:$W$60,9))</f>
        <v>FR</v>
      </c>
      <c r="K88" s="145">
        <f>IF(C88="","",VLOOKUP($C88,'individuel,'!$B$8:$W$60,14))</f>
        <v>57</v>
      </c>
      <c r="L88" s="145">
        <f>IF(C88="","",VLOOKUP($C88,'individuel,'!$B$8:$W$60,18))</f>
        <v>62</v>
      </c>
      <c r="M88" s="280">
        <f>IF(C88="","",VLOOKUP($C88,'individuel,'!$B$8:$W$60,19))</f>
        <v>119</v>
      </c>
      <c r="N88" s="145"/>
      <c r="O88" s="145"/>
      <c r="P88" s="284">
        <f>IF(C88="","",VLOOKUP($C88,'individuel,'!$B$8:$W$60,22))</f>
        <v>158.07606853932646</v>
      </c>
      <c r="Q88" s="170"/>
      <c r="R88" s="170"/>
      <c r="S88" s="148">
        <f t="shared" ref="S88:S90" si="10">IF(C88="","",IF(E88="h",P88,P88*1.5))</f>
        <v>237.11410280898968</v>
      </c>
      <c r="T88" s="149" t="s">
        <v>144</v>
      </c>
      <c r="U88" s="171"/>
      <c r="V88" s="150"/>
      <c r="W88" s="172"/>
    </row>
    <row r="89" spans="2:23" ht="16.2" thickBot="1" x14ac:dyDescent="0.3">
      <c r="B89" s="169"/>
      <c r="C89" s="145">
        <v>102</v>
      </c>
      <c r="D89" s="145">
        <f>IF(C89="","",VLOOKUP($C89,'individuel,'!$B$8:$W$60,3))</f>
        <v>0</v>
      </c>
      <c r="E89" s="145" t="str">
        <f>IF(C89="","",VLOOKUP($C89,'individuel,'!$B$8:$W$60,4))</f>
        <v>H</v>
      </c>
      <c r="F89" s="145" t="str">
        <f>IF(C89="","",VLOOKUP($C89,'individuel,'!$B$8:$W$60,5))</f>
        <v>DEHANE</v>
      </c>
      <c r="G89" s="145" t="str">
        <f>IF(C89="","",VLOOKUP($C89,'individuel,'!$B$8:$W$60,6))</f>
        <v>Raphael</v>
      </c>
      <c r="H89" s="145">
        <f>IF(C89="","",VLOOKUP($C89,'individuel,'!$B$8:$W$60,7))</f>
        <v>2007</v>
      </c>
      <c r="I89" s="146" t="str">
        <f>IF(C89="","",VLOOKUP($C89,'individuel,'!$B$8:$W$60,8))</f>
        <v>Espoir cominois</v>
      </c>
      <c r="J89" s="145" t="str">
        <f>IF(C89="","",VLOOKUP($C89,'individuel,'!$B$8:$W$60,9))</f>
        <v>FR</v>
      </c>
      <c r="K89" s="145">
        <f>IF(C89="","",VLOOKUP($C89,'individuel,'!$B$8:$W$60,14))</f>
        <v>65</v>
      </c>
      <c r="L89" s="145">
        <f>IF(C89="","",VLOOKUP($C89,'individuel,'!$B$8:$W$60,18))</f>
        <v>90</v>
      </c>
      <c r="M89" s="280">
        <f>IF(C89="","",VLOOKUP($C89,'individuel,'!$B$8:$W$60,19))</f>
        <v>155</v>
      </c>
      <c r="N89" s="145"/>
      <c r="O89" s="145"/>
      <c r="P89" s="284">
        <f>IF(C89="","",VLOOKUP($C89,'individuel,'!$B$8:$W$60,22))</f>
        <v>228.32697233646488</v>
      </c>
      <c r="Q89" s="170"/>
      <c r="R89" s="170"/>
      <c r="S89" s="148">
        <f t="shared" si="10"/>
        <v>228.32697233646488</v>
      </c>
      <c r="T89" s="149" t="s">
        <v>144</v>
      </c>
      <c r="U89" s="171"/>
      <c r="V89" s="150"/>
      <c r="W89" s="172"/>
    </row>
    <row r="90" spans="2:23" x14ac:dyDescent="0.25">
      <c r="B90" s="169"/>
      <c r="C90" s="145">
        <v>103</v>
      </c>
      <c r="D90" s="145">
        <f>IF(C90="","",VLOOKUP($C90,'individuel,'!$B$8:$W$60,3))</f>
        <v>0</v>
      </c>
      <c r="E90" s="145" t="str">
        <f>IF(C90="","",VLOOKUP($C90,'individuel,'!$B$8:$W$60,4))</f>
        <v>H</v>
      </c>
      <c r="F90" s="145" t="str">
        <f>IF(C90="","",VLOOKUP($C90,'individuel,'!$B$8:$W$60,5))</f>
        <v>NSEGMA</v>
      </c>
      <c r="G90" s="145" t="str">
        <f>IF(C90="","",VLOOKUP($C90,'individuel,'!$B$8:$W$60,6))</f>
        <v>Daniel</v>
      </c>
      <c r="H90" s="145">
        <f>IF(C90="","",VLOOKUP($C90,'individuel,'!$B$8:$W$60,7))</f>
        <v>2011</v>
      </c>
      <c r="I90" s="146" t="str">
        <f>IF(C90="","",VLOOKUP($C90,'individuel,'!$B$8:$W$60,8))</f>
        <v>Espoir cominois</v>
      </c>
      <c r="J90" s="145" t="str">
        <f>IF(C90="","",VLOOKUP($C90,'individuel,'!$B$8:$W$60,9))</f>
        <v>FR</v>
      </c>
      <c r="K90" s="145">
        <f>IF(C90="","",VLOOKUP($C90,'individuel,'!$B$8:$W$60,14))</f>
        <v>97</v>
      </c>
      <c r="L90" s="145">
        <f>IF(C90="","",VLOOKUP($C90,'individuel,'!$B$8:$W$60,18))</f>
        <v>100</v>
      </c>
      <c r="M90" s="280">
        <f>IF(C90="","",VLOOKUP($C90,'individuel,'!$B$8:$W$60,19))</f>
        <v>197</v>
      </c>
      <c r="N90" s="145"/>
      <c r="O90" s="145"/>
      <c r="P90" s="284">
        <f>IF(C90="","",VLOOKUP($C90,'individuel,'!$B$8:$W$60,22))</f>
        <v>274.5121105872276</v>
      </c>
      <c r="Q90" s="170"/>
      <c r="R90" s="170"/>
      <c r="S90" s="151">
        <f t="shared" si="10"/>
        <v>274.5121105872276</v>
      </c>
      <c r="T90" s="152" t="s">
        <v>144</v>
      </c>
      <c r="U90" s="171"/>
      <c r="V90" s="173"/>
      <c r="W90" s="172"/>
    </row>
    <row r="91" spans="2:23" ht="16.2" thickBot="1" x14ac:dyDescent="0.3">
      <c r="B91" s="174"/>
      <c r="C91" s="147"/>
      <c r="D91" s="145" t="str">
        <f>IF(C91="","",VLOOKUP($C91,'individuel,'!$B$8:$W$60,3))</f>
        <v/>
      </c>
      <c r="E91" s="145" t="str">
        <f>IF(C91="","",VLOOKUP($C91,'individuel,'!$B$8:$W$60,4))</f>
        <v/>
      </c>
      <c r="F91" s="145" t="str">
        <f>IF(C91="","",VLOOKUP($C91,'individuel,'!$B$8:$W$60,5))</f>
        <v/>
      </c>
      <c r="G91" s="145" t="str">
        <f>IF(C91="","",VLOOKUP($C91,'individuel,'!$B$8:$W$60,6))</f>
        <v/>
      </c>
      <c r="H91" s="145" t="str">
        <f>IF(C91="","",VLOOKUP($C91,'individuel,'!$B$8:$W$60,7))</f>
        <v/>
      </c>
      <c r="I91" s="146" t="str">
        <f>IF(C91="","",VLOOKUP($C91,'individuel,'!$B$8:$W$60,8))</f>
        <v/>
      </c>
      <c r="J91" s="145" t="str">
        <f>IF(C91="","",VLOOKUP($C91,'individuel,'!$B$8:$W$60,9))</f>
        <v/>
      </c>
      <c r="K91" s="145" t="str">
        <f>IF(C91="","",VLOOKUP($C91,'individuel,'!$B$8:$W$60,14))</f>
        <v/>
      </c>
      <c r="L91" s="145" t="str">
        <f>IF(C91="","",VLOOKUP($C91,'individuel,'!$B$8:$W$60,18))</f>
        <v/>
      </c>
      <c r="M91" s="280" t="str">
        <f>IF(C91="","",VLOOKUP($C91,'individuel,'!$B$8:$W$60,19))</f>
        <v/>
      </c>
      <c r="N91" s="145"/>
      <c r="O91" s="145"/>
      <c r="P91" s="284" t="str">
        <f>IF(C91="","",VLOOKUP($C91,'individuel,'!$B$8:$W$60,22))</f>
        <v/>
      </c>
      <c r="R91" s="153"/>
      <c r="S91" s="154" t="str">
        <f>IF(C91="","",IF(E91="h",P91,P91*1.5))</f>
        <v/>
      </c>
      <c r="T91" s="155" t="s">
        <v>144</v>
      </c>
      <c r="W91" s="175"/>
    </row>
    <row r="92" spans="2:23" ht="17.399999999999999" x14ac:dyDescent="0.25">
      <c r="B92" s="174"/>
      <c r="R92" s="156" t="s">
        <v>145</v>
      </c>
      <c r="S92" s="158">
        <f>SUM(S88:S91)</f>
        <v>739.95318573268219</v>
      </c>
      <c r="T92" s="157" t="s">
        <v>144</v>
      </c>
      <c r="V92" s="373">
        <f>RANK(S92,$Y$12:$Y$23)</f>
        <v>12</v>
      </c>
      <c r="W92" s="374"/>
    </row>
    <row r="93" spans="2:23" x14ac:dyDescent="0.25">
      <c r="B93" s="174"/>
      <c r="V93" s="375"/>
      <c r="W93" s="376"/>
    </row>
    <row r="94" spans="2:23" ht="16.2" thickBot="1" x14ac:dyDescent="0.3">
      <c r="B94" s="176"/>
      <c r="C94" s="177"/>
      <c r="D94" s="178"/>
      <c r="E94" s="177"/>
      <c r="F94" s="177"/>
      <c r="G94" s="177"/>
      <c r="H94" s="179"/>
      <c r="I94" s="180"/>
      <c r="J94" s="181"/>
      <c r="K94" s="182"/>
      <c r="L94" s="177"/>
      <c r="M94" s="177"/>
      <c r="N94" s="177"/>
      <c r="O94" s="183"/>
      <c r="P94" s="177"/>
      <c r="Q94" s="177"/>
      <c r="R94" s="177"/>
      <c r="S94" s="183"/>
      <c r="T94" s="183"/>
      <c r="U94" s="184"/>
      <c r="V94" s="377"/>
      <c r="W94" s="378"/>
    </row>
    <row r="95" spans="2:23" ht="16.2" thickBot="1" x14ac:dyDescent="0.3">
      <c r="B95" s="159" t="s">
        <v>146</v>
      </c>
      <c r="C95" s="160"/>
      <c r="D95" s="160" t="s">
        <v>147</v>
      </c>
      <c r="E95" s="160"/>
      <c r="F95" s="160"/>
      <c r="G95" s="161" t="s">
        <v>140</v>
      </c>
      <c r="H95" s="162"/>
      <c r="I95" s="163"/>
      <c r="J95" s="164"/>
      <c r="K95" s="165"/>
      <c r="L95" s="160"/>
      <c r="M95" s="283"/>
      <c r="N95" s="160"/>
      <c r="O95" s="161"/>
      <c r="P95" s="287"/>
      <c r="Q95" s="160"/>
      <c r="R95" s="161"/>
      <c r="S95" s="161" t="s">
        <v>143</v>
      </c>
      <c r="T95" s="161"/>
      <c r="U95" s="166"/>
      <c r="V95" s="167"/>
      <c r="W95" s="168"/>
    </row>
    <row r="96" spans="2:23" ht="16.2" thickBot="1" x14ac:dyDescent="0.3">
      <c r="B96" s="169"/>
      <c r="C96" s="145">
        <v>22</v>
      </c>
      <c r="D96" s="145">
        <f>IF(C96="","",VLOOKUP($C96,'individuel,'!$B$8:$W$60,3))</f>
        <v>0</v>
      </c>
      <c r="E96" s="145" t="str">
        <f>IF(C96="","",VLOOKUP($C96,'individuel,'!$B$8:$W$60,4))</f>
        <v>F</v>
      </c>
      <c r="F96" s="145" t="str">
        <f>IF(C96="","",VLOOKUP($C96,'individuel,'!$B$8:$W$60,5))</f>
        <v>TIMMERSMANS</v>
      </c>
      <c r="G96" s="145" t="str">
        <f>IF(C96="","",VLOOKUP($C96,'individuel,'!$B$8:$W$60,6))</f>
        <v>Myrthe</v>
      </c>
      <c r="H96" s="145">
        <f>IF(C96="","",VLOOKUP($C96,'individuel,'!$B$8:$W$60,7))</f>
        <v>1997</v>
      </c>
      <c r="I96" s="146" t="str">
        <f>IF(C96="","",VLOOKUP($C96,'individuel,'!$B$8:$W$60,8))</f>
        <v>Waalsport Hollande</v>
      </c>
      <c r="J96" s="145" t="str">
        <f>IF(C96="","",VLOOKUP($C96,'individuel,'!$B$8:$W$60,9))</f>
        <v>HOL</v>
      </c>
      <c r="K96" s="145">
        <f>IF(C96="","",VLOOKUP($C96,'individuel,'!$B$8:$W$60,14))</f>
        <v>88</v>
      </c>
      <c r="L96" s="145">
        <f>IF(C96="","",VLOOKUP($C96,'individuel,'!$B$8:$W$60,18))</f>
        <v>110</v>
      </c>
      <c r="M96" s="280">
        <f>IF(C96="","",VLOOKUP($C96,'individuel,'!$B$8:$W$60,19))</f>
        <v>198</v>
      </c>
      <c r="N96" s="145"/>
      <c r="O96" s="145"/>
      <c r="P96" s="284">
        <f>IF(C96="","",VLOOKUP($C96,'individuel,'!$B$8:$W$60,22))</f>
        <v>249.23955030194011</v>
      </c>
      <c r="Q96" s="170"/>
      <c r="R96" s="170"/>
      <c r="S96" s="148">
        <f t="shared" ref="S96:S98" si="11">IF(C96="","",IF(E96="h",P96,P96*1.5))</f>
        <v>373.85932545291018</v>
      </c>
      <c r="T96" s="149" t="s">
        <v>144</v>
      </c>
      <c r="U96" s="171"/>
      <c r="V96" s="150"/>
      <c r="W96" s="172"/>
    </row>
    <row r="97" spans="2:23" ht="16.2" thickBot="1" x14ac:dyDescent="0.3">
      <c r="B97" s="169"/>
      <c r="C97" s="145">
        <v>23</v>
      </c>
      <c r="D97" s="145">
        <f>IF(C97="","",VLOOKUP($C97,'individuel,'!$B$8:$W$60,3))</f>
        <v>0</v>
      </c>
      <c r="E97" s="145" t="str">
        <f>IF(C97="","",VLOOKUP($C97,'individuel,'!$B$8:$W$60,4))</f>
        <v>F</v>
      </c>
      <c r="F97" s="145" t="str">
        <f>IF(C97="","",VLOOKUP($C97,'individuel,'!$B$8:$W$60,5))</f>
        <v>DE KONING</v>
      </c>
      <c r="G97" s="145" t="str">
        <f>IF(C97="","",VLOOKUP($C97,'individuel,'!$B$8:$W$60,6))</f>
        <v>Joyce</v>
      </c>
      <c r="H97" s="145">
        <f>IF(C97="","",VLOOKUP($C97,'individuel,'!$B$8:$W$60,7))</f>
        <v>1997</v>
      </c>
      <c r="I97" s="146" t="str">
        <f>IF(C97="","",VLOOKUP($C97,'individuel,'!$B$8:$W$60,8))</f>
        <v>Waalsport Hollande</v>
      </c>
      <c r="J97" s="145" t="str">
        <f>IF(C97="","",VLOOKUP($C97,'individuel,'!$B$8:$W$60,9))</f>
        <v>HOL</v>
      </c>
      <c r="K97" s="145">
        <f>IF(C97="","",VLOOKUP($C97,'individuel,'!$B$8:$W$60,14))</f>
        <v>99</v>
      </c>
      <c r="L97" s="145">
        <f>IF(C97="","",VLOOKUP($C97,'individuel,'!$B$8:$W$60,18))</f>
        <v>107</v>
      </c>
      <c r="M97" s="280">
        <f>IF(C97="","",VLOOKUP($C97,'individuel,'!$B$8:$W$60,19))</f>
        <v>206</v>
      </c>
      <c r="N97" s="145"/>
      <c r="O97" s="145"/>
      <c r="P97" s="284">
        <f>IF(C97="","",VLOOKUP($C97,'individuel,'!$B$8:$W$60,22))</f>
        <v>231.46328136214208</v>
      </c>
      <c r="Q97" s="170"/>
      <c r="R97" s="170"/>
      <c r="S97" s="148">
        <f t="shared" si="11"/>
        <v>347.19492204321313</v>
      </c>
      <c r="T97" s="149" t="s">
        <v>144</v>
      </c>
      <c r="U97" s="171"/>
      <c r="V97" s="150"/>
      <c r="W97" s="172"/>
    </row>
    <row r="98" spans="2:23" x14ac:dyDescent="0.25">
      <c r="B98" s="169"/>
      <c r="C98" s="145">
        <v>107</v>
      </c>
      <c r="D98" s="145">
        <f>IF(C98="","",VLOOKUP($C98,'individuel,'!$B$8:$W$60,3))</f>
        <v>0</v>
      </c>
      <c r="E98" s="145" t="str">
        <f>IF(C98="","",VLOOKUP($C98,'individuel,'!$B$8:$W$60,4))</f>
        <v>H</v>
      </c>
      <c r="F98" s="145" t="str">
        <f>IF(C98="","",VLOOKUP($C98,'individuel,'!$B$8:$W$60,5))</f>
        <v>WELLING</v>
      </c>
      <c r="G98" s="145" t="str">
        <f>IF(C98="","",VLOOKUP($C98,'individuel,'!$B$8:$W$60,6))</f>
        <v>Jonas</v>
      </c>
      <c r="H98" s="145">
        <f>IF(C98="","",VLOOKUP($C98,'individuel,'!$B$8:$W$60,7))</f>
        <v>2007</v>
      </c>
      <c r="I98" s="146" t="str">
        <f>IF(C98="","",VLOOKUP($C98,'individuel,'!$B$8:$W$60,8))</f>
        <v>Waalsport Hollande</v>
      </c>
      <c r="J98" s="145" t="str">
        <f>IF(C98="","",VLOOKUP($C98,'individuel,'!$B$8:$W$60,9))</f>
        <v>HOL</v>
      </c>
      <c r="K98" s="145">
        <f>IF(C98="","",VLOOKUP($C98,'individuel,'!$B$8:$W$60,14))</f>
        <v>89</v>
      </c>
      <c r="L98" s="145">
        <f>IF(C98="","",VLOOKUP($C98,'individuel,'!$B$8:$W$60,18))</f>
        <v>100</v>
      </c>
      <c r="M98" s="280">
        <f>IF(C98="","",VLOOKUP($C98,'individuel,'!$B$8:$W$60,19))</f>
        <v>189</v>
      </c>
      <c r="N98" s="145"/>
      <c r="O98" s="145"/>
      <c r="P98" s="284">
        <f>IF(C98="","",VLOOKUP($C98,'individuel,'!$B$8:$W$60,22))</f>
        <v>242.27567346651139</v>
      </c>
      <c r="Q98" s="170"/>
      <c r="R98" s="170"/>
      <c r="S98" s="151">
        <f t="shared" si="11"/>
        <v>242.27567346651139</v>
      </c>
      <c r="T98" s="152" t="s">
        <v>144</v>
      </c>
      <c r="U98" s="171"/>
      <c r="V98" s="173"/>
      <c r="W98" s="172"/>
    </row>
    <row r="99" spans="2:23" ht="16.2" thickBot="1" x14ac:dyDescent="0.3">
      <c r="B99" s="174"/>
      <c r="C99" s="147">
        <v>114</v>
      </c>
      <c r="D99" s="145">
        <f>IF(C99="","",VLOOKUP($C99,'individuel,'!$B$8:$W$60,3))</f>
        <v>0</v>
      </c>
      <c r="E99" s="145" t="str">
        <f>IF(C99="","",VLOOKUP($C99,'individuel,'!$B$8:$W$60,4))</f>
        <v>h</v>
      </c>
      <c r="F99" s="145" t="str">
        <f>IF(C99="","",VLOOKUP($C99,'individuel,'!$B$8:$W$60,5))</f>
        <v>DE HOOP</v>
      </c>
      <c r="G99" s="145" t="str">
        <f>IF(C99="","",VLOOKUP($C99,'individuel,'!$B$8:$W$60,6))</f>
        <v>Tom</v>
      </c>
      <c r="H99" s="145">
        <f>IF(C99="","",VLOOKUP($C99,'individuel,'!$B$8:$W$60,7))</f>
        <v>2000</v>
      </c>
      <c r="I99" s="146" t="str">
        <f>IF(C99="","",VLOOKUP($C99,'individuel,'!$B$8:$W$60,8))</f>
        <v>Waalsport Hollande</v>
      </c>
      <c r="J99" s="145" t="str">
        <f>IF(C99="","",VLOOKUP($C99,'individuel,'!$B$8:$W$60,9))</f>
        <v>HOL</v>
      </c>
      <c r="K99" s="145">
        <f>IF(C99="","",VLOOKUP($C99,'individuel,'!$B$8:$W$60,14))</f>
        <v>114</v>
      </c>
      <c r="L99" s="145">
        <f>IF(C99="","",VLOOKUP($C99,'individuel,'!$B$8:$W$60,18))</f>
        <v>142</v>
      </c>
      <c r="M99" s="280">
        <f>IF(C99="","",VLOOKUP($C99,'individuel,'!$B$8:$W$60,19))</f>
        <v>256</v>
      </c>
      <c r="N99" s="145"/>
      <c r="O99" s="145"/>
      <c r="P99" s="284">
        <f>IF(C99="","",VLOOKUP($C99,'individuel,'!$B$8:$W$60,22))</f>
        <v>315.72232531891524</v>
      </c>
      <c r="R99" s="153"/>
      <c r="S99" s="154">
        <f>IF(C99="","",IF(E99="h",P99,P99*1.5))</f>
        <v>315.72232531891524</v>
      </c>
      <c r="T99" s="155" t="s">
        <v>144</v>
      </c>
      <c r="W99" s="175"/>
    </row>
    <row r="100" spans="2:23" ht="17.399999999999999" x14ac:dyDescent="0.25">
      <c r="B100" s="174"/>
      <c r="R100" s="156" t="s">
        <v>145</v>
      </c>
      <c r="S100" s="158">
        <f>SUM(S96:S99)</f>
        <v>1279.05224628155</v>
      </c>
      <c r="T100" s="157" t="s">
        <v>144</v>
      </c>
      <c r="V100" s="373">
        <f>RANK(S100,$Y$12:$Y$23)</f>
        <v>3</v>
      </c>
      <c r="W100" s="374"/>
    </row>
    <row r="101" spans="2:23" x14ac:dyDescent="0.25">
      <c r="B101" s="174"/>
      <c r="V101" s="375"/>
      <c r="W101" s="376"/>
    </row>
    <row r="102" spans="2:23" ht="16.2" thickBot="1" x14ac:dyDescent="0.3">
      <c r="B102" s="176"/>
      <c r="C102" s="177"/>
      <c r="D102" s="178"/>
      <c r="E102" s="177"/>
      <c r="F102" s="177"/>
      <c r="G102" s="177"/>
      <c r="H102" s="179"/>
      <c r="I102" s="180"/>
      <c r="J102" s="181"/>
      <c r="K102" s="182"/>
      <c r="L102" s="177"/>
      <c r="M102" s="177"/>
      <c r="N102" s="177"/>
      <c r="O102" s="183"/>
      <c r="P102" s="177"/>
      <c r="Q102" s="177"/>
      <c r="R102" s="177"/>
      <c r="S102" s="183"/>
      <c r="T102" s="183"/>
      <c r="U102" s="184"/>
      <c r="V102" s="377"/>
      <c r="W102" s="378"/>
    </row>
  </sheetData>
  <mergeCells count="18">
    <mergeCell ref="V100:W102"/>
    <mergeCell ref="D2:W2"/>
    <mergeCell ref="D3:K3"/>
    <mergeCell ref="N3:S3"/>
    <mergeCell ref="V3:W3"/>
    <mergeCell ref="Q5:W5"/>
    <mergeCell ref="V11:W11"/>
    <mergeCell ref="V12:W14"/>
    <mergeCell ref="V20:W22"/>
    <mergeCell ref="V92:W94"/>
    <mergeCell ref="V84:W86"/>
    <mergeCell ref="V76:W78"/>
    <mergeCell ref="V68:W70"/>
    <mergeCell ref="V60:W62"/>
    <mergeCell ref="V52:W54"/>
    <mergeCell ref="V44:W46"/>
    <mergeCell ref="V36:W38"/>
    <mergeCell ref="V28:W30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48" fitToHeight="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29"/>
  <sheetViews>
    <sheetView workbookViewId="0">
      <selection activeCell="F11" sqref="F11"/>
    </sheetView>
  </sheetViews>
  <sheetFormatPr baseColWidth="10" defaultRowHeight="13.2" x14ac:dyDescent="0.25"/>
  <cols>
    <col min="2" max="2" width="10" bestFit="1" customWidth="1"/>
    <col min="3" max="3" width="5.77734375" bestFit="1" customWidth="1"/>
    <col min="4" max="4" width="3.33203125" bestFit="1" customWidth="1"/>
  </cols>
  <sheetData>
    <row r="1" spans="2:4" x14ac:dyDescent="0.25">
      <c r="B1" s="383" t="s">
        <v>151</v>
      </c>
      <c r="C1" s="384"/>
      <c r="D1" s="384"/>
    </row>
    <row r="2" spans="2:4" x14ac:dyDescent="0.25">
      <c r="B2" s="222" t="s">
        <v>152</v>
      </c>
      <c r="C2" s="222" t="s">
        <v>153</v>
      </c>
    </row>
    <row r="3" spans="2:4" x14ac:dyDescent="0.25">
      <c r="B3" s="221">
        <v>0</v>
      </c>
      <c r="C3" s="261">
        <v>0</v>
      </c>
    </row>
    <row r="4" spans="2:4" x14ac:dyDescent="0.25">
      <c r="B4" s="221">
        <v>1</v>
      </c>
      <c r="C4" s="221">
        <v>26</v>
      </c>
      <c r="D4" s="218" t="s">
        <v>144</v>
      </c>
    </row>
    <row r="5" spans="2:4" x14ac:dyDescent="0.25">
      <c r="B5" s="221">
        <v>2</v>
      </c>
      <c r="C5" s="221">
        <v>25</v>
      </c>
      <c r="D5" s="218" t="s">
        <v>144</v>
      </c>
    </row>
    <row r="6" spans="2:4" x14ac:dyDescent="0.25">
      <c r="B6" s="221">
        <v>3</v>
      </c>
      <c r="C6" s="221">
        <v>24</v>
      </c>
      <c r="D6" s="218" t="s">
        <v>144</v>
      </c>
    </row>
    <row r="7" spans="2:4" x14ac:dyDescent="0.25">
      <c r="B7" s="221">
        <v>4</v>
      </c>
      <c r="C7" s="221">
        <v>23</v>
      </c>
      <c r="D7" s="218" t="s">
        <v>144</v>
      </c>
    </row>
    <row r="8" spans="2:4" x14ac:dyDescent="0.25">
      <c r="B8" s="221">
        <v>5</v>
      </c>
      <c r="C8" s="221">
        <v>22</v>
      </c>
      <c r="D8" s="218" t="s">
        <v>144</v>
      </c>
    </row>
    <row r="9" spans="2:4" x14ac:dyDescent="0.25">
      <c r="B9" s="221">
        <v>6</v>
      </c>
      <c r="C9" s="221">
        <v>21</v>
      </c>
      <c r="D9" s="218" t="s">
        <v>144</v>
      </c>
    </row>
    <row r="10" spans="2:4" x14ac:dyDescent="0.25">
      <c r="B10" s="221">
        <v>7</v>
      </c>
      <c r="C10" s="221">
        <v>20</v>
      </c>
      <c r="D10" s="218" t="s">
        <v>144</v>
      </c>
    </row>
    <row r="11" spans="2:4" x14ac:dyDescent="0.25">
      <c r="B11" s="221">
        <v>8</v>
      </c>
      <c r="C11" s="221">
        <v>19</v>
      </c>
      <c r="D11" s="218" t="s">
        <v>144</v>
      </c>
    </row>
    <row r="12" spans="2:4" x14ac:dyDescent="0.25">
      <c r="B12" s="221">
        <v>9</v>
      </c>
      <c r="C12" s="221">
        <v>18</v>
      </c>
      <c r="D12" s="218" t="s">
        <v>144</v>
      </c>
    </row>
    <row r="13" spans="2:4" x14ac:dyDescent="0.25">
      <c r="B13" s="221">
        <v>10</v>
      </c>
      <c r="C13" s="221">
        <v>17</v>
      </c>
      <c r="D13" s="218" t="s">
        <v>144</v>
      </c>
    </row>
    <row r="14" spans="2:4" x14ac:dyDescent="0.25">
      <c r="B14" s="221">
        <v>11</v>
      </c>
      <c r="C14" s="221">
        <v>16</v>
      </c>
      <c r="D14" s="218" t="s">
        <v>144</v>
      </c>
    </row>
    <row r="15" spans="2:4" x14ac:dyDescent="0.25">
      <c r="B15" s="221">
        <v>12</v>
      </c>
      <c r="C15" s="221">
        <v>15</v>
      </c>
      <c r="D15" s="218" t="s">
        <v>144</v>
      </c>
    </row>
    <row r="16" spans="2:4" x14ac:dyDescent="0.25">
      <c r="B16" s="221">
        <v>13</v>
      </c>
      <c r="C16" s="221">
        <v>14</v>
      </c>
      <c r="D16" s="218" t="s">
        <v>144</v>
      </c>
    </row>
    <row r="17" spans="2:4" x14ac:dyDescent="0.25">
      <c r="B17" s="221">
        <v>14</v>
      </c>
      <c r="C17" s="221">
        <v>13</v>
      </c>
      <c r="D17" s="218" t="s">
        <v>144</v>
      </c>
    </row>
    <row r="18" spans="2:4" x14ac:dyDescent="0.25">
      <c r="B18" s="221">
        <v>15</v>
      </c>
      <c r="C18" s="221">
        <v>12</v>
      </c>
      <c r="D18" s="218" t="s">
        <v>144</v>
      </c>
    </row>
    <row r="19" spans="2:4" x14ac:dyDescent="0.25">
      <c r="B19" s="221">
        <v>16</v>
      </c>
      <c r="C19" s="221">
        <v>11</v>
      </c>
      <c r="D19" s="218" t="s">
        <v>144</v>
      </c>
    </row>
    <row r="20" spans="2:4" x14ac:dyDescent="0.25">
      <c r="B20" s="221">
        <v>17</v>
      </c>
      <c r="C20" s="221">
        <v>10</v>
      </c>
      <c r="D20" s="218" t="s">
        <v>144</v>
      </c>
    </row>
    <row r="21" spans="2:4" x14ac:dyDescent="0.25">
      <c r="B21" s="221">
        <v>18</v>
      </c>
      <c r="C21" s="221">
        <v>9</v>
      </c>
      <c r="D21" s="218" t="s">
        <v>144</v>
      </c>
    </row>
    <row r="22" spans="2:4" x14ac:dyDescent="0.25">
      <c r="B22" s="221">
        <v>19</v>
      </c>
      <c r="C22" s="221">
        <v>8</v>
      </c>
      <c r="D22" s="218" t="s">
        <v>144</v>
      </c>
    </row>
    <row r="23" spans="2:4" x14ac:dyDescent="0.25">
      <c r="B23" s="221">
        <v>20</v>
      </c>
      <c r="C23" s="221">
        <v>7</v>
      </c>
      <c r="D23" s="218" t="s">
        <v>144</v>
      </c>
    </row>
    <row r="24" spans="2:4" x14ac:dyDescent="0.25">
      <c r="B24" s="221">
        <v>21</v>
      </c>
      <c r="C24" s="221">
        <v>6</v>
      </c>
      <c r="D24" s="218" t="s">
        <v>144</v>
      </c>
    </row>
    <row r="25" spans="2:4" x14ac:dyDescent="0.25">
      <c r="B25" s="221">
        <v>22</v>
      </c>
      <c r="C25" s="221">
        <v>5</v>
      </c>
      <c r="D25" s="218" t="s">
        <v>144</v>
      </c>
    </row>
    <row r="26" spans="2:4" x14ac:dyDescent="0.25">
      <c r="B26" s="221">
        <v>23</v>
      </c>
      <c r="C26" s="221">
        <v>4</v>
      </c>
      <c r="D26" s="218" t="s">
        <v>144</v>
      </c>
    </row>
    <row r="27" spans="2:4" x14ac:dyDescent="0.25">
      <c r="B27" s="221">
        <v>24</v>
      </c>
      <c r="C27" s="221">
        <v>3</v>
      </c>
      <c r="D27" s="218" t="s">
        <v>144</v>
      </c>
    </row>
    <row r="28" spans="2:4" x14ac:dyDescent="0.25">
      <c r="B28" s="221">
        <v>25</v>
      </c>
      <c r="C28" s="221">
        <v>2</v>
      </c>
      <c r="D28" s="218" t="s">
        <v>144</v>
      </c>
    </row>
    <row r="29" spans="2:4" x14ac:dyDescent="0.25">
      <c r="B29" s="221">
        <v>26</v>
      </c>
      <c r="C29" s="221">
        <v>1</v>
      </c>
      <c r="D29" s="218" t="s">
        <v>144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2"/>
  <dimension ref="A3:CD38"/>
  <sheetViews>
    <sheetView topLeftCell="A5" workbookViewId="0">
      <selection activeCell="L21" sqref="L21"/>
    </sheetView>
  </sheetViews>
  <sheetFormatPr baseColWidth="10" defaultColWidth="11.44140625" defaultRowHeight="13.2" x14ac:dyDescent="0.25"/>
  <cols>
    <col min="3" max="5" width="10.5546875" bestFit="1" customWidth="1"/>
    <col min="6" max="68" width="9.6640625" customWidth="1"/>
  </cols>
  <sheetData>
    <row r="3" spans="1:82" x14ac:dyDescent="0.25">
      <c r="C3" s="42" t="s">
        <v>65</v>
      </c>
      <c r="D3" s="42" t="s">
        <v>66</v>
      </c>
      <c r="E3" s="42" t="s">
        <v>67</v>
      </c>
      <c r="F3" s="42" t="s">
        <v>77</v>
      </c>
      <c r="G3" s="42" t="s">
        <v>69</v>
      </c>
      <c r="H3" s="42" t="s">
        <v>70</v>
      </c>
      <c r="I3" s="42" t="s">
        <v>71</v>
      </c>
      <c r="J3" s="42" t="s">
        <v>72</v>
      </c>
      <c r="K3" s="42" t="s">
        <v>73</v>
      </c>
      <c r="L3" s="42" t="s">
        <v>74</v>
      </c>
      <c r="M3" s="42" t="s">
        <v>75</v>
      </c>
      <c r="N3" s="42" t="s">
        <v>76</v>
      </c>
      <c r="O3" s="42" t="s">
        <v>84</v>
      </c>
      <c r="P3" s="42" t="s">
        <v>68</v>
      </c>
      <c r="Q3" s="42" t="s">
        <v>78</v>
      </c>
      <c r="R3" s="42" t="s">
        <v>79</v>
      </c>
      <c r="S3" s="42" t="s">
        <v>80</v>
      </c>
      <c r="T3" s="42" t="s">
        <v>81</v>
      </c>
      <c r="U3" s="42" t="s">
        <v>82</v>
      </c>
      <c r="V3" s="42" t="s">
        <v>83</v>
      </c>
      <c r="W3" s="42" t="s">
        <v>85</v>
      </c>
      <c r="X3" s="42" t="s">
        <v>86</v>
      </c>
      <c r="Y3" s="42" t="s">
        <v>87</v>
      </c>
      <c r="Z3" s="42" t="s">
        <v>88</v>
      </c>
      <c r="AA3" s="42" t="s">
        <v>89</v>
      </c>
      <c r="AB3" s="42" t="s">
        <v>90</v>
      </c>
      <c r="AC3" s="42" t="s">
        <v>91</v>
      </c>
      <c r="AD3" s="42" t="s">
        <v>92</v>
      </c>
      <c r="AE3" s="42" t="s">
        <v>93</v>
      </c>
      <c r="AF3" s="42" t="s">
        <v>94</v>
      </c>
      <c r="AG3" s="42" t="s">
        <v>95</v>
      </c>
      <c r="AH3" s="42" t="s">
        <v>96</v>
      </c>
      <c r="AI3" s="42" t="s">
        <v>97</v>
      </c>
      <c r="AJ3" s="42" t="s">
        <v>98</v>
      </c>
      <c r="AK3" s="42" t="s">
        <v>99</v>
      </c>
      <c r="AL3" s="42" t="s">
        <v>100</v>
      </c>
      <c r="AM3" s="42" t="s">
        <v>101</v>
      </c>
      <c r="AN3" s="42" t="s">
        <v>102</v>
      </c>
      <c r="AO3" s="42" t="s">
        <v>103</v>
      </c>
      <c r="AP3" s="42" t="s">
        <v>104</v>
      </c>
      <c r="AQ3" s="29" t="s">
        <v>25</v>
      </c>
      <c r="AR3" s="29" t="s">
        <v>26</v>
      </c>
      <c r="AS3" s="29" t="s">
        <v>27</v>
      </c>
      <c r="AT3" s="29" t="s">
        <v>28</v>
      </c>
      <c r="AU3" s="29" t="s">
        <v>29</v>
      </c>
      <c r="AV3" s="29" t="s">
        <v>30</v>
      </c>
      <c r="AW3" s="29" t="s">
        <v>31</v>
      </c>
      <c r="AX3" s="29" t="s">
        <v>32</v>
      </c>
      <c r="AY3" s="29" t="s">
        <v>33</v>
      </c>
      <c r="AZ3" s="29" t="s">
        <v>34</v>
      </c>
      <c r="BA3" s="29" t="s">
        <v>35</v>
      </c>
      <c r="BB3" s="29" t="s">
        <v>36</v>
      </c>
      <c r="BC3" s="29" t="s">
        <v>37</v>
      </c>
      <c r="BD3" s="29" t="s">
        <v>38</v>
      </c>
      <c r="BE3" s="29" t="s">
        <v>39</v>
      </c>
      <c r="BF3" s="29" t="s">
        <v>40</v>
      </c>
      <c r="BG3" s="29" t="s">
        <v>41</v>
      </c>
      <c r="BH3" s="29" t="s">
        <v>42</v>
      </c>
      <c r="BI3" s="29" t="s">
        <v>43</v>
      </c>
      <c r="BJ3" s="29" t="s">
        <v>44</v>
      </c>
      <c r="BK3" s="29" t="s">
        <v>45</v>
      </c>
      <c r="BL3" s="29" t="s">
        <v>46</v>
      </c>
      <c r="BM3" s="29" t="s">
        <v>47</v>
      </c>
      <c r="BN3" s="29" t="s">
        <v>48</v>
      </c>
      <c r="BO3" s="29" t="s">
        <v>49</v>
      </c>
      <c r="BP3" s="29" t="s">
        <v>50</v>
      </c>
      <c r="BQ3" s="29" t="s">
        <v>51</v>
      </c>
      <c r="BR3" s="29" t="s">
        <v>52</v>
      </c>
      <c r="BS3" s="29" t="s">
        <v>53</v>
      </c>
      <c r="BT3" s="29" t="s">
        <v>54</v>
      </c>
      <c r="BU3" s="29" t="s">
        <v>55</v>
      </c>
      <c r="BV3" s="29" t="s">
        <v>56</v>
      </c>
      <c r="BW3" s="29" t="s">
        <v>57</v>
      </c>
      <c r="BX3" s="29" t="s">
        <v>58</v>
      </c>
      <c r="BY3" s="29" t="s">
        <v>59</v>
      </c>
      <c r="BZ3" s="29" t="s">
        <v>60</v>
      </c>
      <c r="CA3" s="29" t="s">
        <v>61</v>
      </c>
      <c r="CB3" s="29" t="s">
        <v>62</v>
      </c>
      <c r="CC3" s="29" t="s">
        <v>63</v>
      </c>
      <c r="CD3" s="29" t="s">
        <v>64</v>
      </c>
    </row>
    <row r="4" spans="1:82" x14ac:dyDescent="0.25">
      <c r="B4" s="31" t="s">
        <v>11</v>
      </c>
      <c r="C4" s="49">
        <v>20</v>
      </c>
      <c r="D4" s="49">
        <v>25</v>
      </c>
      <c r="E4" s="49">
        <v>30</v>
      </c>
      <c r="F4" s="49">
        <v>35</v>
      </c>
      <c r="G4" s="49">
        <v>40</v>
      </c>
      <c r="H4" s="49">
        <v>45</v>
      </c>
      <c r="I4" s="49">
        <v>50</v>
      </c>
      <c r="J4" s="49">
        <v>55</v>
      </c>
      <c r="K4" s="49">
        <v>57</v>
      </c>
      <c r="L4" s="49">
        <v>60</v>
      </c>
      <c r="M4" s="50">
        <v>30</v>
      </c>
      <c r="N4" s="50">
        <v>35</v>
      </c>
      <c r="O4" s="50">
        <v>40</v>
      </c>
      <c r="P4" s="50">
        <v>45</v>
      </c>
      <c r="Q4" s="50">
        <v>50</v>
      </c>
      <c r="R4" s="50">
        <v>55</v>
      </c>
      <c r="S4" s="50">
        <v>60</v>
      </c>
      <c r="T4" s="50">
        <v>65</v>
      </c>
      <c r="U4" s="50">
        <v>67</v>
      </c>
      <c r="V4" s="50">
        <v>70</v>
      </c>
      <c r="W4" s="51">
        <v>40</v>
      </c>
      <c r="X4" s="51">
        <v>45</v>
      </c>
      <c r="Y4" s="51">
        <v>50</v>
      </c>
      <c r="Z4" s="51">
        <v>55</v>
      </c>
      <c r="AA4" s="51">
        <v>60</v>
      </c>
      <c r="AB4" s="51">
        <v>65</v>
      </c>
      <c r="AC4" s="51">
        <v>70</v>
      </c>
      <c r="AD4" s="51">
        <v>75</v>
      </c>
      <c r="AE4" s="51">
        <v>77</v>
      </c>
      <c r="AF4" s="51">
        <v>80</v>
      </c>
      <c r="AG4" s="52">
        <v>50</v>
      </c>
      <c r="AH4" s="52">
        <v>55</v>
      </c>
      <c r="AI4" s="52">
        <v>60</v>
      </c>
      <c r="AJ4" s="52">
        <v>65</v>
      </c>
      <c r="AK4" s="52">
        <v>70</v>
      </c>
      <c r="AL4" s="52">
        <v>75</v>
      </c>
      <c r="AM4" s="52">
        <v>80</v>
      </c>
      <c r="AN4" s="52">
        <v>85</v>
      </c>
      <c r="AO4" s="52">
        <v>87</v>
      </c>
      <c r="AP4" s="52">
        <v>90</v>
      </c>
      <c r="AQ4" s="33">
        <v>40</v>
      </c>
      <c r="AR4" s="33">
        <v>55</v>
      </c>
      <c r="AS4" s="33">
        <v>65</v>
      </c>
      <c r="AT4" s="33">
        <v>75</v>
      </c>
      <c r="AU4" s="33">
        <v>80</v>
      </c>
      <c r="AV4" s="33">
        <v>85</v>
      </c>
      <c r="AW4" s="33">
        <v>90</v>
      </c>
      <c r="AX4" s="33">
        <v>95</v>
      </c>
      <c r="AY4" s="33">
        <v>100</v>
      </c>
      <c r="AZ4" s="33">
        <v>105</v>
      </c>
      <c r="BA4" s="35">
        <v>50</v>
      </c>
      <c r="BB4" s="35">
        <v>65</v>
      </c>
      <c r="BC4" s="35">
        <v>80</v>
      </c>
      <c r="BD4" s="35">
        <v>90</v>
      </c>
      <c r="BE4" s="43">
        <v>100</v>
      </c>
      <c r="BF4" s="35">
        <v>110</v>
      </c>
      <c r="BG4" s="35">
        <v>115</v>
      </c>
      <c r="BH4" s="35">
        <v>120</v>
      </c>
      <c r="BI4" s="35">
        <v>125</v>
      </c>
      <c r="BJ4" s="35">
        <v>130</v>
      </c>
      <c r="BK4" s="30">
        <v>80</v>
      </c>
      <c r="BL4" s="30">
        <v>95</v>
      </c>
      <c r="BM4" s="30">
        <v>105</v>
      </c>
      <c r="BN4" s="30">
        <v>120</v>
      </c>
      <c r="BO4" s="30">
        <v>130</v>
      </c>
      <c r="BP4" s="30">
        <v>135</v>
      </c>
      <c r="BQ4" s="30">
        <v>140</v>
      </c>
      <c r="BR4" s="30">
        <v>145</v>
      </c>
      <c r="BS4" s="30">
        <v>150</v>
      </c>
      <c r="BT4" s="30">
        <v>155</v>
      </c>
      <c r="BU4" s="38">
        <v>95</v>
      </c>
      <c r="BV4" s="38">
        <v>110</v>
      </c>
      <c r="BW4" s="38">
        <v>125</v>
      </c>
      <c r="BX4" s="38">
        <v>135</v>
      </c>
      <c r="BY4" s="38">
        <v>145</v>
      </c>
      <c r="BZ4" s="38">
        <v>150</v>
      </c>
      <c r="CA4" s="38">
        <v>155</v>
      </c>
      <c r="CB4" s="38">
        <v>160</v>
      </c>
      <c r="CC4" s="38">
        <v>165</v>
      </c>
      <c r="CD4" s="38">
        <v>170</v>
      </c>
    </row>
    <row r="5" spans="1:82" x14ac:dyDescent="0.25">
      <c r="B5" s="31" t="s">
        <v>12</v>
      </c>
      <c r="C5" s="49">
        <v>25</v>
      </c>
      <c r="D5" s="49">
        <v>35</v>
      </c>
      <c r="E5" s="49">
        <v>40</v>
      </c>
      <c r="F5" s="49">
        <v>45</v>
      </c>
      <c r="G5" s="49">
        <v>50</v>
      </c>
      <c r="H5" s="49">
        <v>55</v>
      </c>
      <c r="I5" s="49">
        <v>60</v>
      </c>
      <c r="J5" s="49">
        <v>65</v>
      </c>
      <c r="K5" s="49">
        <v>67</v>
      </c>
      <c r="L5" s="49">
        <v>70</v>
      </c>
      <c r="M5" s="50">
        <v>35</v>
      </c>
      <c r="N5" s="50">
        <v>42</v>
      </c>
      <c r="O5" s="50">
        <v>50</v>
      </c>
      <c r="P5" s="50">
        <v>55</v>
      </c>
      <c r="Q5" s="50">
        <v>60</v>
      </c>
      <c r="R5" s="50">
        <v>65</v>
      </c>
      <c r="S5" s="50">
        <v>70</v>
      </c>
      <c r="T5" s="50">
        <v>75</v>
      </c>
      <c r="U5" s="50">
        <v>77</v>
      </c>
      <c r="V5" s="50">
        <v>80</v>
      </c>
      <c r="W5" s="51">
        <v>50</v>
      </c>
      <c r="X5" s="51">
        <v>55</v>
      </c>
      <c r="Y5" s="51">
        <v>62</v>
      </c>
      <c r="Z5" s="51">
        <v>70</v>
      </c>
      <c r="AA5" s="51">
        <v>75</v>
      </c>
      <c r="AB5" s="51">
        <v>80</v>
      </c>
      <c r="AC5" s="51">
        <v>85</v>
      </c>
      <c r="AD5" s="51">
        <v>90</v>
      </c>
      <c r="AE5" s="51">
        <v>92</v>
      </c>
      <c r="AF5" s="51">
        <v>95</v>
      </c>
      <c r="AG5" s="52">
        <v>60</v>
      </c>
      <c r="AH5" s="52">
        <v>67</v>
      </c>
      <c r="AI5" s="52">
        <v>75</v>
      </c>
      <c r="AJ5" s="52">
        <v>80</v>
      </c>
      <c r="AK5" s="52">
        <v>85</v>
      </c>
      <c r="AL5" s="52">
        <v>90</v>
      </c>
      <c r="AM5" s="52">
        <v>95</v>
      </c>
      <c r="AN5" s="52">
        <v>100</v>
      </c>
      <c r="AO5" s="52">
        <v>102</v>
      </c>
      <c r="AP5" s="52">
        <v>105</v>
      </c>
      <c r="AQ5" s="34">
        <v>55</v>
      </c>
      <c r="AR5" s="34">
        <v>70</v>
      </c>
      <c r="AS5" s="34">
        <v>80</v>
      </c>
      <c r="AT5" s="34">
        <v>95</v>
      </c>
      <c r="AU5" s="34">
        <v>100</v>
      </c>
      <c r="AV5" s="34">
        <v>105</v>
      </c>
      <c r="AW5" s="34">
        <v>110</v>
      </c>
      <c r="AX5" s="34">
        <v>115</v>
      </c>
      <c r="AY5" s="34">
        <v>120</v>
      </c>
      <c r="AZ5" s="34">
        <v>125</v>
      </c>
      <c r="BA5" s="36">
        <v>65</v>
      </c>
      <c r="BB5" s="36">
        <v>85</v>
      </c>
      <c r="BC5" s="36">
        <v>100</v>
      </c>
      <c r="BD5" s="36">
        <v>110</v>
      </c>
      <c r="BE5" s="36">
        <v>120</v>
      </c>
      <c r="BF5" s="36">
        <v>130</v>
      </c>
      <c r="BG5" s="36">
        <v>135</v>
      </c>
      <c r="BH5" s="36">
        <v>140</v>
      </c>
      <c r="BI5" s="36">
        <v>145</v>
      </c>
      <c r="BJ5" s="36">
        <v>150</v>
      </c>
      <c r="BK5" s="39">
        <v>100</v>
      </c>
      <c r="BL5" s="39">
        <v>115</v>
      </c>
      <c r="BM5" s="39">
        <v>125</v>
      </c>
      <c r="BN5" s="39">
        <v>140</v>
      </c>
      <c r="BO5" s="39">
        <v>150</v>
      </c>
      <c r="BP5" s="39">
        <v>160</v>
      </c>
      <c r="BQ5" s="39">
        <v>165</v>
      </c>
      <c r="BR5" s="39">
        <v>170</v>
      </c>
      <c r="BS5" s="39">
        <v>175</v>
      </c>
      <c r="BT5" s="39">
        <v>180</v>
      </c>
      <c r="BU5" s="37">
        <v>115</v>
      </c>
      <c r="BV5" s="37">
        <v>130</v>
      </c>
      <c r="BW5" s="37">
        <v>145</v>
      </c>
      <c r="BX5" s="37">
        <v>160</v>
      </c>
      <c r="BY5" s="37">
        <v>170</v>
      </c>
      <c r="BZ5" s="37">
        <v>175</v>
      </c>
      <c r="CA5" s="37">
        <v>180</v>
      </c>
      <c r="CB5" s="37">
        <v>185</v>
      </c>
      <c r="CC5" s="37">
        <v>190</v>
      </c>
      <c r="CD5" s="37">
        <v>195</v>
      </c>
    </row>
    <row r="6" spans="1:82" x14ac:dyDescent="0.25">
      <c r="B6" s="31" t="s">
        <v>13</v>
      </c>
      <c r="C6" s="49">
        <v>35</v>
      </c>
      <c r="D6" s="49">
        <v>45</v>
      </c>
      <c r="E6" s="49">
        <v>50</v>
      </c>
      <c r="F6" s="49">
        <v>57</v>
      </c>
      <c r="G6" s="49">
        <v>62</v>
      </c>
      <c r="H6" s="49">
        <v>67</v>
      </c>
      <c r="I6" s="49">
        <v>72</v>
      </c>
      <c r="J6" s="49">
        <v>75</v>
      </c>
      <c r="K6" s="49">
        <v>77</v>
      </c>
      <c r="L6" s="49">
        <v>80</v>
      </c>
      <c r="M6" s="50">
        <v>45</v>
      </c>
      <c r="N6" s="50">
        <v>50</v>
      </c>
      <c r="O6" s="50">
        <v>57</v>
      </c>
      <c r="P6" s="50">
        <v>65</v>
      </c>
      <c r="Q6" s="50">
        <v>70</v>
      </c>
      <c r="R6" s="50">
        <v>75</v>
      </c>
      <c r="S6" s="50">
        <v>80</v>
      </c>
      <c r="T6" s="50">
        <v>85</v>
      </c>
      <c r="U6" s="50">
        <v>90</v>
      </c>
      <c r="V6" s="50">
        <v>95</v>
      </c>
      <c r="W6" s="51">
        <v>60</v>
      </c>
      <c r="X6" s="51">
        <v>65</v>
      </c>
      <c r="Y6" s="51">
        <v>75</v>
      </c>
      <c r="Z6" s="51">
        <v>82</v>
      </c>
      <c r="AA6" s="51">
        <v>90</v>
      </c>
      <c r="AB6" s="51">
        <v>95</v>
      </c>
      <c r="AC6" s="51">
        <v>100</v>
      </c>
      <c r="AD6" s="51">
        <v>105</v>
      </c>
      <c r="AE6" s="51">
        <v>107</v>
      </c>
      <c r="AF6" s="51">
        <v>110</v>
      </c>
      <c r="AG6" s="52">
        <v>70</v>
      </c>
      <c r="AH6" s="52">
        <v>80</v>
      </c>
      <c r="AI6" s="52">
        <v>87</v>
      </c>
      <c r="AJ6" s="52">
        <v>92</v>
      </c>
      <c r="AK6" s="52">
        <v>100</v>
      </c>
      <c r="AL6" s="52">
        <v>107</v>
      </c>
      <c r="AM6" s="52">
        <v>115</v>
      </c>
      <c r="AN6" s="52">
        <v>120</v>
      </c>
      <c r="AO6" s="52">
        <v>122</v>
      </c>
      <c r="AP6" s="52">
        <v>125</v>
      </c>
      <c r="AQ6" s="34">
        <v>70</v>
      </c>
      <c r="AR6" s="34">
        <v>85</v>
      </c>
      <c r="AS6" s="34">
        <v>100</v>
      </c>
      <c r="AT6" s="34">
        <v>110</v>
      </c>
      <c r="AU6" s="34">
        <v>120</v>
      </c>
      <c r="AV6" s="34">
        <v>130</v>
      </c>
      <c r="AW6" s="34">
        <v>135</v>
      </c>
      <c r="AX6" s="34">
        <v>140</v>
      </c>
      <c r="AY6" s="34">
        <v>145</v>
      </c>
      <c r="AZ6" s="34">
        <v>150</v>
      </c>
      <c r="BA6" s="36">
        <v>80</v>
      </c>
      <c r="BB6" s="36">
        <v>100</v>
      </c>
      <c r="BC6" s="36">
        <v>120</v>
      </c>
      <c r="BD6" s="36">
        <v>130</v>
      </c>
      <c r="BE6" s="36">
        <v>140</v>
      </c>
      <c r="BF6" s="36">
        <v>150</v>
      </c>
      <c r="BG6" s="36">
        <v>160</v>
      </c>
      <c r="BH6" s="36">
        <v>165</v>
      </c>
      <c r="BI6" s="36">
        <v>170</v>
      </c>
      <c r="BJ6" s="36">
        <v>175</v>
      </c>
      <c r="BK6" s="39">
        <v>115</v>
      </c>
      <c r="BL6" s="39">
        <v>130</v>
      </c>
      <c r="BM6" s="39">
        <v>150</v>
      </c>
      <c r="BN6" s="39">
        <v>160</v>
      </c>
      <c r="BO6" s="39">
        <v>170</v>
      </c>
      <c r="BP6" s="39">
        <v>180</v>
      </c>
      <c r="BQ6" s="39">
        <v>185</v>
      </c>
      <c r="BR6" s="39">
        <v>190</v>
      </c>
      <c r="BS6" s="39">
        <v>195</v>
      </c>
      <c r="BT6" s="39">
        <v>200</v>
      </c>
      <c r="BU6" s="37">
        <v>130</v>
      </c>
      <c r="BV6" s="37">
        <v>150</v>
      </c>
      <c r="BW6" s="37">
        <v>170</v>
      </c>
      <c r="BX6" s="37">
        <v>185</v>
      </c>
      <c r="BY6" s="37">
        <v>195</v>
      </c>
      <c r="BZ6" s="37">
        <v>200</v>
      </c>
      <c r="CA6" s="37">
        <v>205</v>
      </c>
      <c r="CB6" s="37">
        <v>210</v>
      </c>
      <c r="CC6" s="37">
        <v>215</v>
      </c>
      <c r="CD6" s="37">
        <v>220</v>
      </c>
    </row>
    <row r="7" spans="1:82" x14ac:dyDescent="0.25">
      <c r="B7" s="31" t="s">
        <v>14</v>
      </c>
      <c r="C7" s="49">
        <v>45</v>
      </c>
      <c r="D7" s="49">
        <v>55</v>
      </c>
      <c r="E7" s="49">
        <v>62</v>
      </c>
      <c r="F7" s="49">
        <v>70</v>
      </c>
      <c r="G7" s="49">
        <v>75</v>
      </c>
      <c r="H7" s="49">
        <v>80</v>
      </c>
      <c r="I7" s="49">
        <v>85</v>
      </c>
      <c r="J7" s="49">
        <v>87</v>
      </c>
      <c r="K7" s="49">
        <v>90</v>
      </c>
      <c r="L7" s="49">
        <v>95</v>
      </c>
      <c r="M7" s="50">
        <v>58</v>
      </c>
      <c r="N7" s="50">
        <v>63</v>
      </c>
      <c r="O7" s="50">
        <v>70</v>
      </c>
      <c r="P7" s="50">
        <v>80</v>
      </c>
      <c r="Q7" s="50">
        <v>82</v>
      </c>
      <c r="R7" s="50">
        <v>87</v>
      </c>
      <c r="S7" s="50">
        <v>92</v>
      </c>
      <c r="T7" s="50">
        <v>97</v>
      </c>
      <c r="U7" s="50">
        <v>100</v>
      </c>
      <c r="V7" s="50">
        <v>105</v>
      </c>
      <c r="W7" s="51">
        <v>72</v>
      </c>
      <c r="X7" s="51">
        <v>80</v>
      </c>
      <c r="Y7" s="51">
        <v>90</v>
      </c>
      <c r="Z7" s="51">
        <v>97</v>
      </c>
      <c r="AA7" s="51">
        <v>105</v>
      </c>
      <c r="AB7" s="51">
        <v>110</v>
      </c>
      <c r="AC7" s="51">
        <v>115</v>
      </c>
      <c r="AD7" s="51">
        <v>120</v>
      </c>
      <c r="AE7" s="51">
        <v>122</v>
      </c>
      <c r="AF7" s="51">
        <v>125</v>
      </c>
      <c r="AG7" s="52">
        <v>85</v>
      </c>
      <c r="AH7" s="52">
        <v>95</v>
      </c>
      <c r="AI7" s="52">
        <v>105</v>
      </c>
      <c r="AJ7" s="52">
        <v>112</v>
      </c>
      <c r="AK7" s="52">
        <v>122</v>
      </c>
      <c r="AL7" s="52">
        <v>130</v>
      </c>
      <c r="AM7" s="52">
        <v>135</v>
      </c>
      <c r="AN7" s="52">
        <v>137</v>
      </c>
      <c r="AO7" s="52">
        <v>140</v>
      </c>
      <c r="AP7" s="52">
        <v>142</v>
      </c>
      <c r="AQ7" s="34">
        <v>85</v>
      </c>
      <c r="AR7" s="34">
        <v>100</v>
      </c>
      <c r="AS7" s="34">
        <v>115</v>
      </c>
      <c r="AT7" s="34">
        <v>130</v>
      </c>
      <c r="AU7" s="34">
        <v>140</v>
      </c>
      <c r="AV7" s="34">
        <v>150</v>
      </c>
      <c r="AW7" s="34">
        <v>155</v>
      </c>
      <c r="AX7" s="34">
        <v>160</v>
      </c>
      <c r="AY7" s="34">
        <v>165</v>
      </c>
      <c r="AZ7" s="34">
        <v>170</v>
      </c>
      <c r="BA7" s="36">
        <v>95</v>
      </c>
      <c r="BB7" s="36">
        <v>115</v>
      </c>
      <c r="BC7" s="36">
        <v>135</v>
      </c>
      <c r="BD7" s="36">
        <v>150</v>
      </c>
      <c r="BE7" s="36">
        <v>160</v>
      </c>
      <c r="BF7" s="36">
        <v>170</v>
      </c>
      <c r="BG7" s="36">
        <v>180</v>
      </c>
      <c r="BH7" s="36">
        <v>185</v>
      </c>
      <c r="BI7" s="36">
        <v>190</v>
      </c>
      <c r="BJ7" s="36">
        <v>195</v>
      </c>
      <c r="BK7" s="39">
        <v>130</v>
      </c>
      <c r="BL7" s="39">
        <v>150</v>
      </c>
      <c r="BM7" s="39">
        <v>170</v>
      </c>
      <c r="BN7" s="39">
        <v>180</v>
      </c>
      <c r="BO7" s="39">
        <v>190</v>
      </c>
      <c r="BP7" s="39">
        <v>200</v>
      </c>
      <c r="BQ7" s="39">
        <v>210</v>
      </c>
      <c r="BR7" s="39">
        <v>215</v>
      </c>
      <c r="BS7" s="39">
        <v>220</v>
      </c>
      <c r="BT7" s="39">
        <v>225</v>
      </c>
      <c r="BU7" s="37">
        <v>145</v>
      </c>
      <c r="BV7" s="37">
        <v>170</v>
      </c>
      <c r="BW7" s="37">
        <v>195</v>
      </c>
      <c r="BX7" s="37">
        <v>210</v>
      </c>
      <c r="BY7" s="37">
        <v>220</v>
      </c>
      <c r="BZ7" s="37">
        <v>230</v>
      </c>
      <c r="CA7" s="37">
        <v>235</v>
      </c>
      <c r="CB7" s="37">
        <v>240</v>
      </c>
      <c r="CC7" s="37">
        <v>245</v>
      </c>
      <c r="CD7" s="37">
        <v>250</v>
      </c>
    </row>
    <row r="8" spans="1:82" x14ac:dyDescent="0.25">
      <c r="B8" s="31" t="s">
        <v>15</v>
      </c>
      <c r="C8" s="49">
        <v>57</v>
      </c>
      <c r="D8" s="49">
        <v>67</v>
      </c>
      <c r="E8" s="49">
        <v>75</v>
      </c>
      <c r="F8" s="49">
        <v>85</v>
      </c>
      <c r="G8" s="49">
        <v>90</v>
      </c>
      <c r="H8" s="49">
        <v>95</v>
      </c>
      <c r="I8" s="49">
        <v>100</v>
      </c>
      <c r="J8" s="49">
        <v>105</v>
      </c>
      <c r="K8" s="49">
        <v>107</v>
      </c>
      <c r="L8" s="49">
        <v>110</v>
      </c>
      <c r="M8" s="50">
        <v>70</v>
      </c>
      <c r="N8" s="50">
        <v>78</v>
      </c>
      <c r="O8" s="50">
        <v>87</v>
      </c>
      <c r="P8" s="50">
        <v>97</v>
      </c>
      <c r="Q8" s="50">
        <v>102</v>
      </c>
      <c r="R8" s="50">
        <v>105</v>
      </c>
      <c r="S8" s="50">
        <v>110</v>
      </c>
      <c r="T8" s="50">
        <v>115</v>
      </c>
      <c r="U8" s="50">
        <v>117</v>
      </c>
      <c r="V8" s="50">
        <v>120</v>
      </c>
      <c r="W8" s="51">
        <v>85</v>
      </c>
      <c r="X8" s="51">
        <v>95</v>
      </c>
      <c r="Y8" s="51">
        <v>108</v>
      </c>
      <c r="Z8" s="51">
        <v>115</v>
      </c>
      <c r="AA8" s="51">
        <v>122</v>
      </c>
      <c r="AB8" s="51">
        <v>125</v>
      </c>
      <c r="AC8" s="51">
        <v>130</v>
      </c>
      <c r="AD8" s="51">
        <v>135</v>
      </c>
      <c r="AE8" s="51">
        <v>140</v>
      </c>
      <c r="AF8" s="51">
        <v>145</v>
      </c>
      <c r="AG8" s="52">
        <v>102</v>
      </c>
      <c r="AH8" s="52">
        <v>115</v>
      </c>
      <c r="AI8" s="52">
        <v>130</v>
      </c>
      <c r="AJ8" s="52">
        <v>140</v>
      </c>
      <c r="AK8" s="52">
        <v>147</v>
      </c>
      <c r="AL8" s="52">
        <v>152</v>
      </c>
      <c r="AM8" s="52">
        <v>155</v>
      </c>
      <c r="AN8" s="52">
        <v>157</v>
      </c>
      <c r="AO8" s="52">
        <v>160</v>
      </c>
      <c r="AP8" s="52">
        <v>162</v>
      </c>
      <c r="AQ8" s="34">
        <v>100</v>
      </c>
      <c r="AR8" s="34">
        <v>115</v>
      </c>
      <c r="AS8" s="34">
        <v>130</v>
      </c>
      <c r="AT8" s="34">
        <v>150</v>
      </c>
      <c r="AU8" s="34">
        <v>160</v>
      </c>
      <c r="AV8" s="34">
        <v>170</v>
      </c>
      <c r="AW8" s="34">
        <v>175</v>
      </c>
      <c r="AX8" s="34">
        <v>180</v>
      </c>
      <c r="AY8" s="34">
        <v>185</v>
      </c>
      <c r="AZ8" s="34">
        <v>190</v>
      </c>
      <c r="BA8" s="36">
        <v>110</v>
      </c>
      <c r="BB8" s="36">
        <v>130</v>
      </c>
      <c r="BC8" s="36">
        <v>150</v>
      </c>
      <c r="BD8" s="36">
        <v>170</v>
      </c>
      <c r="BE8" s="36">
        <v>180</v>
      </c>
      <c r="BF8" s="36">
        <v>190</v>
      </c>
      <c r="BG8" s="36">
        <v>200</v>
      </c>
      <c r="BH8" s="36">
        <v>205</v>
      </c>
      <c r="BI8" s="36">
        <v>210</v>
      </c>
      <c r="BJ8" s="36">
        <v>215</v>
      </c>
      <c r="BK8" s="39">
        <v>145</v>
      </c>
      <c r="BL8" s="39">
        <v>170</v>
      </c>
      <c r="BM8" s="39">
        <v>190</v>
      </c>
      <c r="BN8" s="39">
        <v>200</v>
      </c>
      <c r="BO8" s="39">
        <v>215</v>
      </c>
      <c r="BP8" s="39">
        <v>225</v>
      </c>
      <c r="BQ8" s="39">
        <v>230</v>
      </c>
      <c r="BR8" s="39">
        <v>240</v>
      </c>
      <c r="BS8" s="39">
        <v>245</v>
      </c>
      <c r="BT8" s="39">
        <v>250</v>
      </c>
      <c r="BU8" s="37">
        <v>170</v>
      </c>
      <c r="BV8" s="37">
        <v>195</v>
      </c>
      <c r="BW8" s="37">
        <v>225</v>
      </c>
      <c r="BX8" s="37">
        <v>240</v>
      </c>
      <c r="BY8" s="37">
        <v>250</v>
      </c>
      <c r="BZ8" s="37">
        <v>260</v>
      </c>
      <c r="CA8" s="37">
        <v>265</v>
      </c>
      <c r="CB8" s="37">
        <v>270</v>
      </c>
      <c r="CC8" s="37">
        <v>275</v>
      </c>
      <c r="CD8" s="37">
        <v>280</v>
      </c>
    </row>
    <row r="9" spans="1:82" x14ac:dyDescent="0.25">
      <c r="B9" s="31" t="s">
        <v>16</v>
      </c>
      <c r="C9" s="49">
        <v>72</v>
      </c>
      <c r="D9" s="49">
        <v>82</v>
      </c>
      <c r="E9" s="49">
        <v>90</v>
      </c>
      <c r="F9" s="49">
        <v>100</v>
      </c>
      <c r="G9" s="49">
        <v>105</v>
      </c>
      <c r="H9" s="49">
        <v>110</v>
      </c>
      <c r="I9" s="49">
        <v>115</v>
      </c>
      <c r="J9" s="49">
        <v>120</v>
      </c>
      <c r="K9" s="49">
        <v>122</v>
      </c>
      <c r="L9" s="49">
        <v>125</v>
      </c>
      <c r="M9" s="50">
        <v>82</v>
      </c>
      <c r="N9" s="50">
        <v>90</v>
      </c>
      <c r="O9" s="50">
        <v>100</v>
      </c>
      <c r="P9" s="50">
        <v>110</v>
      </c>
      <c r="Q9" s="50">
        <v>115</v>
      </c>
      <c r="R9" s="50">
        <v>120</v>
      </c>
      <c r="S9" s="50">
        <v>125</v>
      </c>
      <c r="T9" s="50">
        <v>130</v>
      </c>
      <c r="U9" s="50">
        <v>135</v>
      </c>
      <c r="V9" s="50">
        <v>140</v>
      </c>
      <c r="W9" s="51">
        <v>100</v>
      </c>
      <c r="X9" s="51">
        <v>110</v>
      </c>
      <c r="Y9" s="51">
        <v>122</v>
      </c>
      <c r="Z9" s="51">
        <v>130</v>
      </c>
      <c r="AA9" s="51">
        <v>140</v>
      </c>
      <c r="AB9" s="51">
        <v>145</v>
      </c>
      <c r="AC9" s="51">
        <v>150</v>
      </c>
      <c r="AD9" s="51">
        <v>155</v>
      </c>
      <c r="AE9" s="51">
        <v>160</v>
      </c>
      <c r="AF9" s="51">
        <v>165</v>
      </c>
      <c r="AG9" s="52">
        <v>117</v>
      </c>
      <c r="AH9" s="52">
        <v>130</v>
      </c>
      <c r="AI9" s="52">
        <v>145</v>
      </c>
      <c r="AJ9" s="52">
        <v>155</v>
      </c>
      <c r="AK9" s="52">
        <v>165</v>
      </c>
      <c r="AL9" s="52">
        <v>172</v>
      </c>
      <c r="AM9" s="52">
        <v>176</v>
      </c>
      <c r="AN9" s="52">
        <v>180</v>
      </c>
      <c r="AO9" s="52">
        <v>182</v>
      </c>
      <c r="AP9" s="52">
        <v>185</v>
      </c>
      <c r="AQ9" s="34">
        <v>115</v>
      </c>
      <c r="AR9" s="34">
        <v>130</v>
      </c>
      <c r="AS9" s="34">
        <v>150</v>
      </c>
      <c r="AT9" s="34">
        <v>170</v>
      </c>
      <c r="AU9" s="34">
        <v>180</v>
      </c>
      <c r="AV9" s="34">
        <v>190</v>
      </c>
      <c r="AW9" s="34">
        <v>200</v>
      </c>
      <c r="AX9" s="34">
        <v>205</v>
      </c>
      <c r="AY9" s="34">
        <v>210</v>
      </c>
      <c r="AZ9" s="34">
        <v>215</v>
      </c>
      <c r="BA9" s="36">
        <v>125</v>
      </c>
      <c r="BB9" s="36">
        <v>145</v>
      </c>
      <c r="BC9" s="36">
        <v>170</v>
      </c>
      <c r="BD9" s="36">
        <v>190</v>
      </c>
      <c r="BE9" s="36">
        <v>200</v>
      </c>
      <c r="BF9" s="36">
        <v>210</v>
      </c>
      <c r="BG9" s="36">
        <v>220</v>
      </c>
      <c r="BH9" s="36">
        <v>225</v>
      </c>
      <c r="BI9" s="36">
        <v>230</v>
      </c>
      <c r="BJ9" s="36">
        <v>235</v>
      </c>
      <c r="BK9" s="39">
        <v>170</v>
      </c>
      <c r="BL9" s="39">
        <v>190</v>
      </c>
      <c r="BM9" s="39">
        <v>218</v>
      </c>
      <c r="BN9" s="39">
        <v>230</v>
      </c>
      <c r="BO9" s="39">
        <v>245</v>
      </c>
      <c r="BP9" s="39">
        <v>255</v>
      </c>
      <c r="BQ9" s="39">
        <v>260</v>
      </c>
      <c r="BR9" s="39">
        <v>270</v>
      </c>
      <c r="BS9" s="39">
        <v>275</v>
      </c>
      <c r="BT9" s="39">
        <v>280</v>
      </c>
      <c r="BU9" s="37">
        <v>190</v>
      </c>
      <c r="BV9" s="37">
        <v>215</v>
      </c>
      <c r="BW9" s="37">
        <v>240</v>
      </c>
      <c r="BX9" s="37">
        <v>260</v>
      </c>
      <c r="BY9" s="37">
        <v>275</v>
      </c>
      <c r="BZ9" s="37">
        <v>287</v>
      </c>
      <c r="CA9" s="37">
        <v>295</v>
      </c>
      <c r="CB9" s="37">
        <v>302</v>
      </c>
      <c r="CC9" s="37">
        <v>310</v>
      </c>
      <c r="CD9" s="37">
        <v>315</v>
      </c>
    </row>
    <row r="10" spans="1:82" x14ac:dyDescent="0.25">
      <c r="B10" s="31" t="s">
        <v>17</v>
      </c>
      <c r="C10" s="49">
        <v>85</v>
      </c>
      <c r="D10" s="49">
        <v>95</v>
      </c>
      <c r="E10" s="49">
        <v>105</v>
      </c>
      <c r="F10" s="49">
        <v>115</v>
      </c>
      <c r="G10" s="49">
        <v>120</v>
      </c>
      <c r="H10" s="49">
        <v>125</v>
      </c>
      <c r="I10" s="49">
        <v>130</v>
      </c>
      <c r="J10" s="49">
        <v>132</v>
      </c>
      <c r="K10" s="49">
        <v>135</v>
      </c>
      <c r="L10" s="49">
        <v>140</v>
      </c>
      <c r="M10" s="50">
        <v>95</v>
      </c>
      <c r="N10" s="50">
        <v>105</v>
      </c>
      <c r="O10" s="50">
        <v>115</v>
      </c>
      <c r="P10" s="50">
        <v>125</v>
      </c>
      <c r="Q10" s="50">
        <v>130</v>
      </c>
      <c r="R10" s="50">
        <v>135</v>
      </c>
      <c r="S10" s="50">
        <v>140</v>
      </c>
      <c r="T10" s="50">
        <v>142</v>
      </c>
      <c r="U10" s="50">
        <v>150</v>
      </c>
      <c r="V10" s="50">
        <v>155</v>
      </c>
      <c r="W10" s="51">
        <v>117</v>
      </c>
      <c r="X10" s="51">
        <v>127</v>
      </c>
      <c r="Y10" s="51">
        <v>145</v>
      </c>
      <c r="Z10" s="51">
        <v>152</v>
      </c>
      <c r="AA10" s="51">
        <v>160</v>
      </c>
      <c r="AB10" s="51">
        <v>167</v>
      </c>
      <c r="AC10" s="51">
        <v>172</v>
      </c>
      <c r="AD10" s="51">
        <v>175</v>
      </c>
      <c r="AE10" s="51">
        <v>180</v>
      </c>
      <c r="AF10" s="51">
        <v>185</v>
      </c>
      <c r="AG10" s="52">
        <v>135</v>
      </c>
      <c r="AH10" s="52">
        <v>150</v>
      </c>
      <c r="AI10" s="52">
        <v>165</v>
      </c>
      <c r="AJ10" s="52">
        <v>175</v>
      </c>
      <c r="AK10" s="52">
        <v>185</v>
      </c>
      <c r="AL10" s="52">
        <v>192</v>
      </c>
      <c r="AM10" s="52">
        <v>196</v>
      </c>
      <c r="AN10" s="52">
        <v>200</v>
      </c>
      <c r="AO10" s="52">
        <v>202</v>
      </c>
      <c r="AP10" s="52">
        <v>205</v>
      </c>
      <c r="AQ10" s="33">
        <v>135</v>
      </c>
      <c r="AR10" s="33">
        <v>150</v>
      </c>
      <c r="AS10" s="33">
        <v>170</v>
      </c>
      <c r="AT10" s="33">
        <v>190</v>
      </c>
      <c r="AU10" s="33">
        <v>200</v>
      </c>
      <c r="AV10" s="33">
        <v>210</v>
      </c>
      <c r="AW10" s="33">
        <v>220</v>
      </c>
      <c r="AX10" s="33">
        <v>225</v>
      </c>
      <c r="AY10" s="33">
        <v>230</v>
      </c>
      <c r="AZ10" s="33">
        <v>235</v>
      </c>
      <c r="BA10" s="53">
        <v>145</v>
      </c>
      <c r="BB10" s="53">
        <v>175</v>
      </c>
      <c r="BC10" s="53">
        <v>195</v>
      </c>
      <c r="BD10" s="53">
        <v>215</v>
      </c>
      <c r="BE10" s="53">
        <v>225</v>
      </c>
      <c r="BF10" s="53">
        <v>235</v>
      </c>
      <c r="BG10" s="53">
        <v>245</v>
      </c>
      <c r="BH10" s="53">
        <v>255</v>
      </c>
      <c r="BI10" s="53">
        <v>260</v>
      </c>
      <c r="BJ10" s="53">
        <v>265</v>
      </c>
      <c r="BK10" s="49">
        <v>195</v>
      </c>
      <c r="BL10" s="49">
        <v>220</v>
      </c>
      <c r="BM10" s="49">
        <v>245</v>
      </c>
      <c r="BN10" s="49">
        <v>260</v>
      </c>
      <c r="BO10" s="49">
        <v>275</v>
      </c>
      <c r="BP10" s="49">
        <v>290</v>
      </c>
      <c r="BQ10" s="49">
        <v>295</v>
      </c>
      <c r="BR10" s="49">
        <v>305</v>
      </c>
      <c r="BS10" s="49">
        <v>315</v>
      </c>
      <c r="BT10" s="49">
        <v>320</v>
      </c>
      <c r="BU10" s="50">
        <v>220</v>
      </c>
      <c r="BV10" s="50">
        <v>245</v>
      </c>
      <c r="BW10" s="50">
        <v>270</v>
      </c>
      <c r="BX10" s="50">
        <v>290</v>
      </c>
      <c r="BY10" s="50">
        <v>305</v>
      </c>
      <c r="BZ10" s="50">
        <v>320</v>
      </c>
      <c r="CA10" s="50">
        <v>330</v>
      </c>
      <c r="CB10" s="50">
        <v>340</v>
      </c>
      <c r="CC10" s="50">
        <v>350</v>
      </c>
      <c r="CD10" s="50">
        <v>355</v>
      </c>
    </row>
    <row r="11" spans="1:82" x14ac:dyDescent="0.25">
      <c r="B11" s="31" t="s">
        <v>18</v>
      </c>
      <c r="C11" s="49">
        <v>100</v>
      </c>
      <c r="D11" s="49">
        <v>110</v>
      </c>
      <c r="E11" s="49">
        <v>120</v>
      </c>
      <c r="F11" s="49">
        <v>130</v>
      </c>
      <c r="G11" s="49">
        <v>140</v>
      </c>
      <c r="H11" s="49">
        <v>145</v>
      </c>
      <c r="I11" s="49">
        <v>150</v>
      </c>
      <c r="J11" s="49">
        <v>152</v>
      </c>
      <c r="K11" s="49">
        <v>153</v>
      </c>
      <c r="L11" s="49">
        <v>155</v>
      </c>
      <c r="M11" s="50">
        <v>110</v>
      </c>
      <c r="N11" s="50">
        <v>120</v>
      </c>
      <c r="O11" s="50">
        <v>130</v>
      </c>
      <c r="P11" s="50">
        <v>140</v>
      </c>
      <c r="Q11" s="50">
        <v>150</v>
      </c>
      <c r="R11" s="50">
        <v>160</v>
      </c>
      <c r="S11" s="50">
        <v>165</v>
      </c>
      <c r="T11" s="50">
        <v>170</v>
      </c>
      <c r="U11" s="50">
        <v>171</v>
      </c>
      <c r="V11" s="50">
        <v>172</v>
      </c>
      <c r="W11" s="51">
        <v>140</v>
      </c>
      <c r="X11" s="51">
        <v>150</v>
      </c>
      <c r="Y11" s="51">
        <v>165</v>
      </c>
      <c r="Z11" s="51">
        <v>180</v>
      </c>
      <c r="AA11" s="51">
        <v>185</v>
      </c>
      <c r="AB11" s="51">
        <v>190</v>
      </c>
      <c r="AC11" s="51">
        <v>195</v>
      </c>
      <c r="AD11" s="51">
        <v>198</v>
      </c>
      <c r="AE11" s="51">
        <v>200</v>
      </c>
      <c r="AF11" s="51">
        <v>205</v>
      </c>
      <c r="AG11" s="52">
        <v>150</v>
      </c>
      <c r="AH11" s="52">
        <v>170</v>
      </c>
      <c r="AI11" s="52">
        <v>185</v>
      </c>
      <c r="AJ11" s="52">
        <v>200</v>
      </c>
      <c r="AK11" s="52">
        <v>208</v>
      </c>
      <c r="AL11" s="52">
        <v>212</v>
      </c>
      <c r="AM11" s="52">
        <v>216</v>
      </c>
      <c r="AN11" s="52">
        <v>220</v>
      </c>
      <c r="AO11" s="52">
        <v>224</v>
      </c>
      <c r="AP11" s="52">
        <v>228</v>
      </c>
      <c r="AQ11" s="33">
        <v>155</v>
      </c>
      <c r="AR11" s="33">
        <v>170</v>
      </c>
      <c r="AS11" s="33">
        <v>190</v>
      </c>
      <c r="AT11" s="33">
        <v>210</v>
      </c>
      <c r="AU11" s="33">
        <v>220</v>
      </c>
      <c r="AV11" s="33">
        <v>230</v>
      </c>
      <c r="AW11" s="33">
        <v>240</v>
      </c>
      <c r="AX11" s="33">
        <v>250</v>
      </c>
      <c r="AY11" s="33">
        <v>255</v>
      </c>
      <c r="AZ11" s="33">
        <v>260</v>
      </c>
      <c r="BA11" s="53">
        <v>165</v>
      </c>
      <c r="BB11" s="53">
        <v>195</v>
      </c>
      <c r="BC11" s="53">
        <v>215</v>
      </c>
      <c r="BD11" s="53">
        <v>235</v>
      </c>
      <c r="BE11" s="53">
        <v>250</v>
      </c>
      <c r="BF11" s="53">
        <v>265</v>
      </c>
      <c r="BG11" s="53">
        <v>275</v>
      </c>
      <c r="BH11" s="53">
        <v>285</v>
      </c>
      <c r="BI11" s="53">
        <v>290</v>
      </c>
      <c r="BJ11" s="53">
        <v>300</v>
      </c>
      <c r="BK11" s="49">
        <v>225</v>
      </c>
      <c r="BL11" s="49">
        <v>245</v>
      </c>
      <c r="BM11" s="49">
        <v>265</v>
      </c>
      <c r="BN11" s="49">
        <v>285</v>
      </c>
      <c r="BO11" s="49">
        <v>305</v>
      </c>
      <c r="BP11" s="49">
        <v>315</v>
      </c>
      <c r="BQ11" s="49">
        <v>325</v>
      </c>
      <c r="BR11" s="49">
        <v>335</v>
      </c>
      <c r="BS11" s="49">
        <v>345</v>
      </c>
      <c r="BT11" s="49">
        <v>355</v>
      </c>
      <c r="BU11" s="50">
        <v>240</v>
      </c>
      <c r="BV11" s="50">
        <v>270</v>
      </c>
      <c r="BW11" s="54">
        <v>295</v>
      </c>
      <c r="BX11" s="54">
        <v>315</v>
      </c>
      <c r="BY11" s="54">
        <v>335</v>
      </c>
      <c r="BZ11" s="54">
        <v>350</v>
      </c>
      <c r="CA11" s="50">
        <v>360</v>
      </c>
      <c r="CB11" s="50">
        <v>370</v>
      </c>
      <c r="CC11" s="50">
        <v>380</v>
      </c>
      <c r="CD11" s="50">
        <v>395</v>
      </c>
    </row>
    <row r="12" spans="1:82" x14ac:dyDescent="0.25">
      <c r="B12" s="31" t="s">
        <v>19</v>
      </c>
      <c r="C12" s="32">
        <v>9999</v>
      </c>
      <c r="D12" s="32">
        <v>9999</v>
      </c>
      <c r="E12" s="32">
        <v>9999</v>
      </c>
      <c r="F12" s="32">
        <v>9999</v>
      </c>
      <c r="G12" s="32">
        <v>9999</v>
      </c>
      <c r="H12" s="32">
        <v>9999</v>
      </c>
      <c r="I12" s="32">
        <v>9999</v>
      </c>
      <c r="J12" s="32">
        <v>9999</v>
      </c>
      <c r="K12" s="32">
        <v>9999</v>
      </c>
      <c r="L12" s="32">
        <v>9999</v>
      </c>
      <c r="M12" s="32">
        <v>9999</v>
      </c>
      <c r="N12" s="32">
        <v>9999</v>
      </c>
      <c r="O12" s="32">
        <v>9999</v>
      </c>
      <c r="P12" s="32">
        <v>9999</v>
      </c>
      <c r="Q12" s="32">
        <v>9999</v>
      </c>
      <c r="R12" s="32">
        <v>9999</v>
      </c>
      <c r="S12" s="32">
        <v>9999</v>
      </c>
      <c r="T12" s="32">
        <v>9999</v>
      </c>
      <c r="U12" s="32">
        <v>9999</v>
      </c>
      <c r="V12" s="32">
        <v>9999</v>
      </c>
      <c r="W12" s="32">
        <v>9999</v>
      </c>
      <c r="X12" s="32">
        <v>9999</v>
      </c>
      <c r="Y12" s="32">
        <v>9999</v>
      </c>
      <c r="Z12" s="32">
        <v>9999</v>
      </c>
      <c r="AA12" s="32">
        <v>9999</v>
      </c>
      <c r="AB12" s="32">
        <v>9999</v>
      </c>
      <c r="AC12" s="32">
        <v>9999</v>
      </c>
      <c r="AD12" s="32">
        <v>9999</v>
      </c>
      <c r="AE12" s="32">
        <v>9999</v>
      </c>
      <c r="AF12" s="32">
        <v>9999</v>
      </c>
      <c r="AG12" s="32">
        <v>9999</v>
      </c>
      <c r="AH12" s="32">
        <v>9999</v>
      </c>
      <c r="AI12" s="32">
        <v>9999</v>
      </c>
      <c r="AJ12" s="32">
        <v>9999</v>
      </c>
      <c r="AK12" s="32">
        <v>9999</v>
      </c>
      <c r="AL12" s="32">
        <v>9999</v>
      </c>
      <c r="AM12" s="32">
        <v>9999</v>
      </c>
      <c r="AN12" s="32">
        <v>9999</v>
      </c>
      <c r="AO12" s="32">
        <v>9999</v>
      </c>
      <c r="AP12" s="32">
        <v>9999</v>
      </c>
      <c r="AQ12" s="32">
        <v>9999</v>
      </c>
      <c r="AR12" s="32">
        <v>9999</v>
      </c>
      <c r="AS12" s="32">
        <v>9999</v>
      </c>
      <c r="AT12" s="32">
        <v>9999</v>
      </c>
      <c r="AU12" s="32">
        <v>9999</v>
      </c>
      <c r="AV12" s="32">
        <v>9999</v>
      </c>
      <c r="AW12" s="32">
        <v>9999</v>
      </c>
      <c r="AX12" s="32">
        <v>9999</v>
      </c>
      <c r="AY12" s="32">
        <v>9999</v>
      </c>
      <c r="AZ12" s="32">
        <v>9999</v>
      </c>
      <c r="BA12" s="32">
        <v>9999</v>
      </c>
      <c r="BB12" s="32">
        <v>9999</v>
      </c>
      <c r="BC12" s="32">
        <v>9999</v>
      </c>
      <c r="BD12" s="32">
        <v>9999</v>
      </c>
      <c r="BE12" s="32">
        <v>9999</v>
      </c>
      <c r="BF12" s="32">
        <v>9999</v>
      </c>
      <c r="BG12" s="32">
        <v>9999</v>
      </c>
      <c r="BH12" s="32">
        <v>9999</v>
      </c>
      <c r="BI12" s="32">
        <v>9999</v>
      </c>
      <c r="BJ12" s="32">
        <v>9999</v>
      </c>
      <c r="BK12" s="32">
        <v>9999</v>
      </c>
      <c r="BL12" s="32">
        <v>9999</v>
      </c>
      <c r="BM12" s="32">
        <v>9999</v>
      </c>
      <c r="BN12" s="32">
        <v>9999</v>
      </c>
      <c r="BO12" s="32">
        <v>9999</v>
      </c>
      <c r="BP12" s="32">
        <v>9999</v>
      </c>
      <c r="BQ12" s="32">
        <v>9999</v>
      </c>
      <c r="BR12" s="32">
        <v>9999</v>
      </c>
      <c r="BS12" s="32">
        <v>9999</v>
      </c>
      <c r="BT12" s="32">
        <v>9999</v>
      </c>
      <c r="BU12" s="32">
        <v>9999</v>
      </c>
      <c r="BV12" s="32">
        <v>9999</v>
      </c>
      <c r="BW12" s="32">
        <v>9999</v>
      </c>
      <c r="BX12" s="32">
        <v>9999</v>
      </c>
      <c r="BY12" s="32">
        <v>9999</v>
      </c>
      <c r="BZ12" s="32">
        <v>9999</v>
      </c>
      <c r="CA12" s="32">
        <v>9999</v>
      </c>
      <c r="CB12" s="32">
        <v>9999</v>
      </c>
      <c r="CC12" s="32">
        <v>9999</v>
      </c>
      <c r="CD12" s="32">
        <v>9999</v>
      </c>
    </row>
    <row r="13" spans="1:82" x14ac:dyDescent="0.25"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82" x14ac:dyDescent="0.25">
      <c r="BG14" s="28"/>
      <c r="BH14" s="28"/>
      <c r="BI14" s="28"/>
      <c r="BJ14" s="28"/>
      <c r="BK14" s="28"/>
      <c r="BL14" s="28"/>
      <c r="BM14" s="28"/>
      <c r="BN14" s="28"/>
    </row>
    <row r="15" spans="1:82" x14ac:dyDescent="0.25">
      <c r="B15" t="s">
        <v>20</v>
      </c>
      <c r="C15" s="40" t="s">
        <v>21</v>
      </c>
      <c r="D15" s="40" t="s">
        <v>21</v>
      </c>
      <c r="E15" s="40" t="s">
        <v>22</v>
      </c>
      <c r="F15" s="40" t="s">
        <v>23</v>
      </c>
      <c r="H15" s="18" t="s">
        <v>20</v>
      </c>
      <c r="I15" s="41" t="s">
        <v>283</v>
      </c>
      <c r="J15" s="41" t="s">
        <v>284</v>
      </c>
      <c r="K15" s="41" t="s">
        <v>22</v>
      </c>
      <c r="L15" s="41" t="s">
        <v>23</v>
      </c>
      <c r="M15" s="18"/>
      <c r="N15" s="18"/>
      <c r="O15" s="18"/>
      <c r="P15" s="18"/>
      <c r="Q15" s="18"/>
      <c r="R15" s="18"/>
      <c r="S15" s="18"/>
      <c r="T15" s="18"/>
      <c r="U15" s="18"/>
    </row>
    <row r="16" spans="1:82" x14ac:dyDescent="0.25">
      <c r="A16" s="27">
        <v>10</v>
      </c>
      <c r="B16" s="19" t="s">
        <v>116</v>
      </c>
      <c r="C16" s="29" t="s">
        <v>25</v>
      </c>
      <c r="D16" s="29" t="s">
        <v>35</v>
      </c>
      <c r="E16" s="29" t="s">
        <v>45</v>
      </c>
      <c r="F16" s="29" t="s">
        <v>55</v>
      </c>
      <c r="G16" s="27">
        <v>10</v>
      </c>
      <c r="H16" s="19" t="s">
        <v>116</v>
      </c>
      <c r="I16" s="42" t="s">
        <v>65</v>
      </c>
      <c r="J16" s="42" t="s">
        <v>278</v>
      </c>
      <c r="K16" s="42" t="s">
        <v>279</v>
      </c>
      <c r="L16" s="42" t="s">
        <v>280</v>
      </c>
      <c r="M16" s="18"/>
      <c r="R16" s="20"/>
      <c r="S16" s="20"/>
      <c r="T16" s="18"/>
      <c r="U16" s="18"/>
      <c r="BV16" s="17"/>
      <c r="BW16" s="17"/>
      <c r="BX16" s="17"/>
      <c r="BY16" s="17"/>
    </row>
    <row r="17" spans="1:72" x14ac:dyDescent="0.25">
      <c r="A17" s="27">
        <v>35.01</v>
      </c>
      <c r="B17" s="19" t="s">
        <v>116</v>
      </c>
      <c r="C17" s="29" t="s">
        <v>25</v>
      </c>
      <c r="D17" s="29" t="s">
        <v>35</v>
      </c>
      <c r="E17" s="29" t="s">
        <v>45</v>
      </c>
      <c r="F17" s="29" t="s">
        <v>55</v>
      </c>
      <c r="G17">
        <v>35.01</v>
      </c>
      <c r="H17" s="19" t="s">
        <v>116</v>
      </c>
      <c r="I17" s="42" t="s">
        <v>65</v>
      </c>
      <c r="J17" s="42" t="s">
        <v>278</v>
      </c>
      <c r="K17" s="42" t="s">
        <v>279</v>
      </c>
      <c r="L17" s="42" t="s">
        <v>280</v>
      </c>
      <c r="M17" s="18"/>
      <c r="N17" s="42"/>
      <c r="O17" s="42"/>
      <c r="R17" s="20"/>
      <c r="S17" s="20"/>
      <c r="T17" s="18"/>
      <c r="U17" s="18"/>
      <c r="BG17" s="40"/>
      <c r="BS17" s="17"/>
      <c r="BT17" s="29"/>
    </row>
    <row r="18" spans="1:72" x14ac:dyDescent="0.25">
      <c r="A18" s="27">
        <v>40.01</v>
      </c>
      <c r="B18" s="19" t="s">
        <v>116</v>
      </c>
      <c r="C18" s="29" t="s">
        <v>25</v>
      </c>
      <c r="D18" s="29" t="s">
        <v>35</v>
      </c>
      <c r="E18" s="29" t="s">
        <v>45</v>
      </c>
      <c r="F18" s="29" t="s">
        <v>55</v>
      </c>
      <c r="G18" s="21">
        <v>40.1</v>
      </c>
      <c r="H18" s="19" t="s">
        <v>116</v>
      </c>
      <c r="I18" s="42" t="s">
        <v>277</v>
      </c>
      <c r="J18" s="42" t="s">
        <v>278</v>
      </c>
      <c r="K18" s="42" t="s">
        <v>279</v>
      </c>
      <c r="L18" s="42" t="s">
        <v>280</v>
      </c>
      <c r="M18" s="18"/>
      <c r="R18" s="20"/>
      <c r="S18" s="20"/>
      <c r="T18" s="18"/>
      <c r="U18" s="18"/>
      <c r="AV18" s="17"/>
      <c r="AW18" s="17"/>
      <c r="BS18" s="17"/>
      <c r="BT18" s="29"/>
    </row>
    <row r="19" spans="1:72" x14ac:dyDescent="0.25">
      <c r="A19" s="27">
        <v>45.01</v>
      </c>
      <c r="B19" s="19" t="s">
        <v>116</v>
      </c>
      <c r="C19" s="29" t="s">
        <v>25</v>
      </c>
      <c r="D19" s="29" t="s">
        <v>35</v>
      </c>
      <c r="E19" s="29" t="s">
        <v>45</v>
      </c>
      <c r="F19" s="29" t="s">
        <v>55</v>
      </c>
      <c r="G19">
        <v>44.1</v>
      </c>
      <c r="H19" s="19" t="s">
        <v>116</v>
      </c>
      <c r="I19" s="42" t="s">
        <v>282</v>
      </c>
      <c r="J19" s="42" t="s">
        <v>281</v>
      </c>
      <c r="K19" s="42" t="s">
        <v>279</v>
      </c>
      <c r="L19" s="42" t="s">
        <v>280</v>
      </c>
      <c r="M19" s="18"/>
      <c r="R19" s="20"/>
      <c r="S19" s="20"/>
      <c r="T19" s="18"/>
      <c r="U19" s="18"/>
      <c r="AV19" s="17"/>
      <c r="AW19" s="17"/>
      <c r="BG19" s="40"/>
      <c r="BS19" s="17"/>
      <c r="BT19" s="29"/>
    </row>
    <row r="20" spans="1:72" x14ac:dyDescent="0.25">
      <c r="A20" s="27">
        <v>49.01</v>
      </c>
      <c r="B20" s="19" t="s">
        <v>116</v>
      </c>
      <c r="C20" s="29" t="s">
        <v>26</v>
      </c>
      <c r="D20" s="29" t="s">
        <v>36</v>
      </c>
      <c r="E20" s="29" t="s">
        <v>45</v>
      </c>
      <c r="F20" s="29" t="s">
        <v>55</v>
      </c>
      <c r="G20">
        <v>48.1</v>
      </c>
      <c r="H20" s="19" t="s">
        <v>116</v>
      </c>
      <c r="I20" s="42" t="s">
        <v>285</v>
      </c>
      <c r="J20" s="42" t="s">
        <v>286</v>
      </c>
      <c r="K20" s="42" t="s">
        <v>287</v>
      </c>
      <c r="L20" s="42" t="s">
        <v>288</v>
      </c>
      <c r="M20" s="18"/>
      <c r="R20" s="20"/>
      <c r="S20" s="20"/>
      <c r="T20" s="18"/>
      <c r="U20" s="18"/>
      <c r="BS20" s="17"/>
      <c r="BT20" s="29"/>
    </row>
    <row r="21" spans="1:72" x14ac:dyDescent="0.25">
      <c r="A21" s="27">
        <v>55.01</v>
      </c>
      <c r="B21" s="19" t="s">
        <v>116</v>
      </c>
      <c r="C21" s="29" t="s">
        <v>27</v>
      </c>
      <c r="D21" s="29" t="s">
        <v>37</v>
      </c>
      <c r="E21" s="29" t="s">
        <v>46</v>
      </c>
      <c r="F21" s="29" t="s">
        <v>56</v>
      </c>
      <c r="G21">
        <v>55.01</v>
      </c>
      <c r="H21" s="19" t="s">
        <v>116</v>
      </c>
      <c r="I21" s="42" t="s">
        <v>69</v>
      </c>
      <c r="J21" s="42" t="s">
        <v>78</v>
      </c>
      <c r="K21" s="42" t="s">
        <v>88</v>
      </c>
      <c r="L21" s="42" t="s">
        <v>98</v>
      </c>
      <c r="M21" s="18"/>
      <c r="R21" s="20"/>
      <c r="S21" s="20"/>
      <c r="T21" s="18"/>
      <c r="U21" s="18"/>
      <c r="BG21" s="40"/>
      <c r="BT21" s="29"/>
    </row>
    <row r="22" spans="1:72" x14ac:dyDescent="0.25">
      <c r="A22" s="27">
        <v>61.01</v>
      </c>
      <c r="B22" s="19" t="s">
        <v>116</v>
      </c>
      <c r="C22" s="29" t="s">
        <v>28</v>
      </c>
      <c r="D22" s="29" t="s">
        <v>38</v>
      </c>
      <c r="E22" s="29" t="s">
        <v>47</v>
      </c>
      <c r="F22" s="29" t="s">
        <v>57</v>
      </c>
      <c r="G22">
        <v>59.01</v>
      </c>
      <c r="H22" s="19" t="s">
        <v>116</v>
      </c>
      <c r="I22" s="42" t="s">
        <v>70</v>
      </c>
      <c r="J22" s="42" t="s">
        <v>79</v>
      </c>
      <c r="K22" s="42" t="s">
        <v>89</v>
      </c>
      <c r="L22" s="42" t="s">
        <v>99</v>
      </c>
      <c r="M22" s="18"/>
      <c r="R22" s="20"/>
      <c r="S22" s="20"/>
      <c r="T22" s="18"/>
      <c r="U22" s="18"/>
    </row>
    <row r="23" spans="1:72" x14ac:dyDescent="0.25">
      <c r="A23" s="27">
        <v>67.010000000000005</v>
      </c>
      <c r="B23" s="19" t="s">
        <v>116</v>
      </c>
      <c r="C23" s="29" t="s">
        <v>29</v>
      </c>
      <c r="D23" s="29" t="s">
        <v>39</v>
      </c>
      <c r="E23" s="29" t="s">
        <v>48</v>
      </c>
      <c r="F23" s="29" t="s">
        <v>58</v>
      </c>
      <c r="G23">
        <v>64.010000000000005</v>
      </c>
      <c r="H23" s="19" t="s">
        <v>116</v>
      </c>
      <c r="I23" s="42" t="s">
        <v>71</v>
      </c>
      <c r="J23" s="42" t="s">
        <v>80</v>
      </c>
      <c r="K23" s="42" t="s">
        <v>90</v>
      </c>
      <c r="L23" s="42" t="s">
        <v>100</v>
      </c>
      <c r="M23" s="18"/>
      <c r="R23" s="20"/>
      <c r="S23" s="20"/>
      <c r="T23" s="18"/>
      <c r="U23" s="18"/>
      <c r="BG23" s="40"/>
    </row>
    <row r="24" spans="1:72" x14ac:dyDescent="0.25">
      <c r="A24" s="27">
        <v>73.010000000000005</v>
      </c>
      <c r="B24" s="19" t="s">
        <v>116</v>
      </c>
      <c r="C24" s="29" t="s">
        <v>30</v>
      </c>
      <c r="D24" s="29" t="s">
        <v>40</v>
      </c>
      <c r="E24" s="29" t="s">
        <v>49</v>
      </c>
      <c r="F24" s="29" t="s">
        <v>59</v>
      </c>
      <c r="G24">
        <v>71.010000000000005</v>
      </c>
      <c r="H24" s="19" t="s">
        <v>116</v>
      </c>
      <c r="I24" s="42" t="s">
        <v>72</v>
      </c>
      <c r="J24" s="42" t="s">
        <v>81</v>
      </c>
      <c r="K24" s="42" t="s">
        <v>91</v>
      </c>
      <c r="L24" s="42" t="s">
        <v>101</v>
      </c>
      <c r="M24" s="18"/>
      <c r="R24" s="20"/>
      <c r="S24" s="20"/>
      <c r="T24" s="18"/>
      <c r="U24" s="18"/>
    </row>
    <row r="25" spans="1:72" x14ac:dyDescent="0.25">
      <c r="A25" s="27">
        <v>81.010000000000005</v>
      </c>
      <c r="B25" s="19" t="s">
        <v>116</v>
      </c>
      <c r="C25" s="29" t="s">
        <v>31</v>
      </c>
      <c r="D25" s="29" t="s">
        <v>41</v>
      </c>
      <c r="E25" s="29" t="s">
        <v>50</v>
      </c>
      <c r="F25" s="29" t="s">
        <v>60</v>
      </c>
      <c r="G25">
        <v>76.010000000000005</v>
      </c>
      <c r="H25" s="19" t="s">
        <v>116</v>
      </c>
      <c r="I25" s="42" t="s">
        <v>73</v>
      </c>
      <c r="J25" s="42" t="s">
        <v>82</v>
      </c>
      <c r="K25" s="42" t="s">
        <v>92</v>
      </c>
      <c r="L25" s="42" t="s">
        <v>102</v>
      </c>
      <c r="M25" s="18"/>
      <c r="R25" s="20"/>
      <c r="S25" s="20"/>
      <c r="T25" s="18"/>
      <c r="U25" s="18"/>
      <c r="BG25" s="40"/>
    </row>
    <row r="26" spans="1:72" x14ac:dyDescent="0.25">
      <c r="A26" s="27">
        <v>89.01</v>
      </c>
      <c r="B26" s="19" t="s">
        <v>116</v>
      </c>
      <c r="C26" s="29" t="s">
        <v>32</v>
      </c>
      <c r="D26" s="29" t="s">
        <v>42</v>
      </c>
      <c r="E26" s="29" t="s">
        <v>51</v>
      </c>
      <c r="F26" s="29" t="s">
        <v>61</v>
      </c>
      <c r="G26">
        <v>81.010000000000005</v>
      </c>
      <c r="H26" s="19" t="s">
        <v>116</v>
      </c>
      <c r="I26" s="42" t="s">
        <v>74</v>
      </c>
      <c r="J26" s="42" t="s">
        <v>83</v>
      </c>
      <c r="K26" s="42" t="s">
        <v>93</v>
      </c>
      <c r="L26" s="42" t="s">
        <v>103</v>
      </c>
      <c r="M26" s="18"/>
      <c r="R26" s="20"/>
      <c r="S26" s="20"/>
      <c r="T26" s="18"/>
      <c r="U26" s="18"/>
    </row>
    <row r="27" spans="1:72" x14ac:dyDescent="0.25">
      <c r="A27" s="27">
        <v>96.01</v>
      </c>
      <c r="B27" s="19" t="s">
        <v>116</v>
      </c>
      <c r="C27" s="29" t="s">
        <v>33</v>
      </c>
      <c r="D27" s="29" t="s">
        <v>43</v>
      </c>
      <c r="E27" s="29" t="s">
        <v>52</v>
      </c>
      <c r="F27" s="29" t="s">
        <v>62</v>
      </c>
      <c r="G27">
        <v>87.01</v>
      </c>
      <c r="H27" s="19" t="s">
        <v>116</v>
      </c>
      <c r="I27" s="42" t="s">
        <v>74</v>
      </c>
      <c r="J27" s="42" t="s">
        <v>83</v>
      </c>
      <c r="K27" s="42" t="s">
        <v>94</v>
      </c>
      <c r="L27" s="42" t="s">
        <v>104</v>
      </c>
      <c r="M27" s="18"/>
      <c r="R27" s="20"/>
      <c r="S27" s="20"/>
      <c r="T27" s="18"/>
      <c r="U27" s="18"/>
      <c r="BG27" s="40"/>
    </row>
    <row r="28" spans="1:72" x14ac:dyDescent="0.25">
      <c r="A28" s="27">
        <v>102.01</v>
      </c>
      <c r="B28" s="19" t="s">
        <v>116</v>
      </c>
      <c r="C28" s="29" t="s">
        <v>34</v>
      </c>
      <c r="D28" s="29" t="s">
        <v>44</v>
      </c>
      <c r="E28" s="29" t="s">
        <v>53</v>
      </c>
      <c r="F28" s="29" t="s">
        <v>63</v>
      </c>
      <c r="H28" s="19"/>
      <c r="I28" s="20"/>
      <c r="J28" s="20"/>
      <c r="K28" s="20"/>
      <c r="L28" s="20"/>
      <c r="M28" s="18"/>
      <c r="P28" s="20"/>
      <c r="Q28" s="20"/>
      <c r="R28" s="20"/>
      <c r="S28" s="20"/>
      <c r="T28" s="18"/>
      <c r="U28" s="18"/>
    </row>
    <row r="29" spans="1:72" x14ac:dyDescent="0.25">
      <c r="A29" s="27">
        <v>109.1</v>
      </c>
      <c r="B29" s="19" t="s">
        <v>116</v>
      </c>
      <c r="C29" s="29" t="s">
        <v>34</v>
      </c>
      <c r="D29" s="29" t="s">
        <v>44</v>
      </c>
      <c r="E29" s="29" t="s">
        <v>54</v>
      </c>
      <c r="F29" s="29" t="s">
        <v>64</v>
      </c>
      <c r="H29" s="19"/>
      <c r="I29" s="20"/>
      <c r="J29" s="20"/>
      <c r="K29" s="20"/>
      <c r="L29" s="20"/>
      <c r="M29" s="18"/>
      <c r="P29" s="20"/>
      <c r="Q29" s="20"/>
      <c r="R29" s="20"/>
      <c r="S29" s="20"/>
      <c r="T29" s="18"/>
      <c r="U29" s="18"/>
      <c r="AV29" s="17"/>
      <c r="AW29" s="17"/>
      <c r="BG29" s="40"/>
    </row>
    <row r="30" spans="1:72" x14ac:dyDescent="0.25">
      <c r="M30" s="18"/>
      <c r="O30" s="20"/>
      <c r="P30" s="20"/>
      <c r="Q30" s="20"/>
      <c r="R30" s="20"/>
      <c r="S30" s="20"/>
      <c r="T30" s="18"/>
      <c r="U30" s="18"/>
    </row>
    <row r="31" spans="1:72" x14ac:dyDescent="0.25">
      <c r="S31" s="20"/>
      <c r="T31" s="18"/>
      <c r="U31" s="18"/>
      <c r="BG31" s="40"/>
    </row>
    <row r="32" spans="1:72" x14ac:dyDescent="0.25">
      <c r="B32" t="s">
        <v>117</v>
      </c>
      <c r="C32" s="29" t="s">
        <v>118</v>
      </c>
      <c r="D32" s="29" t="s">
        <v>119</v>
      </c>
      <c r="S32" s="20"/>
      <c r="T32" s="18"/>
      <c r="U32" s="18"/>
    </row>
    <row r="33" spans="2:59" x14ac:dyDescent="0.25">
      <c r="B33" t="s">
        <v>120</v>
      </c>
      <c r="C33" s="29"/>
      <c r="D33">
        <v>2013</v>
      </c>
      <c r="S33" s="20"/>
      <c r="T33" s="18"/>
      <c r="U33" s="18"/>
    </row>
    <row r="34" spans="2:59" x14ac:dyDescent="0.25">
      <c r="B34" t="s">
        <v>121</v>
      </c>
      <c r="C34">
        <v>2010</v>
      </c>
      <c r="D34">
        <v>2012</v>
      </c>
      <c r="S34" s="20"/>
      <c r="T34" s="18"/>
      <c r="U34" s="18"/>
      <c r="BG34" s="40"/>
    </row>
    <row r="35" spans="2:59" x14ac:dyDescent="0.25">
      <c r="B35" t="s">
        <v>122</v>
      </c>
      <c r="C35">
        <v>2008</v>
      </c>
      <c r="D35">
        <v>2009</v>
      </c>
    </row>
    <row r="36" spans="2:59" x14ac:dyDescent="0.25">
      <c r="B36" t="s">
        <v>123</v>
      </c>
      <c r="C36">
        <v>2006</v>
      </c>
      <c r="D36">
        <v>2007</v>
      </c>
      <c r="BG36" s="40"/>
    </row>
    <row r="37" spans="2:59" x14ac:dyDescent="0.25">
      <c r="B37" t="s">
        <v>124</v>
      </c>
      <c r="C37">
        <v>2003</v>
      </c>
      <c r="D37">
        <v>2005</v>
      </c>
    </row>
    <row r="38" spans="2:59" x14ac:dyDescent="0.25">
      <c r="B38" t="s">
        <v>125</v>
      </c>
      <c r="C38">
        <v>2002</v>
      </c>
      <c r="BG38" s="40"/>
    </row>
  </sheetData>
  <phoneticPr fontId="47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17</vt:i4>
      </vt:variant>
    </vt:vector>
  </HeadingPairs>
  <TitlesOfParts>
    <vt:vector size="27" baseType="lpstr">
      <vt:lpstr>plateau 1 </vt:lpstr>
      <vt:lpstr>plateau 2</vt:lpstr>
      <vt:lpstr>plateau 3</vt:lpstr>
      <vt:lpstr>plateau 4</vt:lpstr>
      <vt:lpstr>classements individuels</vt:lpstr>
      <vt:lpstr>Classement équipe</vt:lpstr>
      <vt:lpstr>Equipe</vt:lpstr>
      <vt:lpstr>grille points</vt:lpstr>
      <vt:lpstr>Minimas</vt:lpstr>
      <vt:lpstr>individuel,</vt:lpstr>
      <vt:lpstr>SENIORS_Min</vt:lpstr>
      <vt:lpstr>U10_Max</vt:lpstr>
      <vt:lpstr>U13_Max</vt:lpstr>
      <vt:lpstr>U13_Min</vt:lpstr>
      <vt:lpstr>U15_Max</vt:lpstr>
      <vt:lpstr>U15_Min</vt:lpstr>
      <vt:lpstr>U17_Max</vt:lpstr>
      <vt:lpstr>U17_Min</vt:lpstr>
      <vt:lpstr>U20_Max</vt:lpstr>
      <vt:lpstr>U20_Min</vt:lpstr>
      <vt:lpstr>'classements individuels'!Zone_d_impression</vt:lpstr>
      <vt:lpstr>Equipe!Zone_d_impression</vt:lpstr>
      <vt:lpstr>'individuel,'!Zone_d_impression</vt:lpstr>
      <vt:lpstr>'plateau 1 '!Zone_d_impression</vt:lpstr>
      <vt:lpstr>'plateau 2'!Zone_d_impression</vt:lpstr>
      <vt:lpstr>'plateau 3'!Zone_d_impression</vt:lpstr>
      <vt:lpstr>'plateau 4'!Zone_d_impression</vt:lpstr>
    </vt:vector>
  </TitlesOfParts>
  <Company>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FFHM</dc:creator>
  <cp:lastModifiedBy>jean-marc defrance</cp:lastModifiedBy>
  <cp:lastPrinted>2026-06-21T07:07:50Z</cp:lastPrinted>
  <dcterms:created xsi:type="dcterms:W3CDTF">2004-10-09T07:29:01Z</dcterms:created>
  <dcterms:modified xsi:type="dcterms:W3CDTF">2026-06-21T08:01:51Z</dcterms:modified>
</cp:coreProperties>
</file>