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Suivi Compet nationales\GRAND PRIX FEDERAL\"/>
    </mc:Choice>
  </mc:AlternateContent>
  <bookViews>
    <workbookView xWindow="0" yWindow="0" windowWidth="28800" windowHeight="13065"/>
  </bookViews>
  <sheets>
    <sheet name="FEMME FED" sheetId="6" r:id="rId1"/>
    <sheet name="HOMME FED" sheetId="7" r:id="rId2"/>
    <sheet name="Minimas" sheetId="4" state="hidden" r:id="rId3"/>
  </sheets>
  <definedNames>
    <definedName name="_xlnm.Print_Titles" localSheetId="0">'FEMME FED'!$1:$4</definedName>
    <definedName name="_xlnm.Print_Titles" localSheetId="1">'HOMME FED'!$1:$4</definedName>
    <definedName name="_xlnm.Print_Area" localSheetId="0">'FEMME FED'!$A$1:$Y$169</definedName>
    <definedName name="_xlnm.Print_Area" localSheetId="1">'HOMME FED'!$A$1:$Y$168</definedName>
  </definedNames>
  <calcPr calcId="162913"/>
</workbook>
</file>

<file path=xl/calcChain.xml><?xml version="1.0" encoding="utf-8"?>
<calcChain xmlns="http://schemas.openxmlformats.org/spreadsheetml/2006/main">
  <c r="V87" i="6" l="1"/>
  <c r="S87" i="6"/>
  <c r="O87" i="6"/>
  <c r="T87" i="6" s="1"/>
  <c r="AJ87" i="6" l="1"/>
  <c r="AF87" i="6"/>
  <c r="W87" i="6"/>
  <c r="AI87" i="6"/>
  <c r="AE87" i="6"/>
  <c r="AH87" i="6"/>
  <c r="AD87" i="6"/>
  <c r="AK87" i="6"/>
  <c r="AG87" i="6"/>
  <c r="AC87" i="6"/>
  <c r="Y2" i="7"/>
  <c r="AO87" i="6" l="1"/>
  <c r="AL87" i="6"/>
  <c r="AN87" i="6" s="1"/>
  <c r="U87" i="6" s="1"/>
  <c r="Z99" i="6"/>
  <c r="Y2" i="6"/>
  <c r="Z5" i="6" l="1"/>
  <c r="V122" i="7" l="1"/>
  <c r="S122" i="7"/>
  <c r="O122" i="7"/>
  <c r="T122" i="7" s="1"/>
  <c r="V45" i="7"/>
  <c r="S45" i="7"/>
  <c r="O45" i="7"/>
  <c r="V15" i="7"/>
  <c r="S15" i="7"/>
  <c r="O15" i="7"/>
  <c r="V151" i="7"/>
  <c r="S151" i="7"/>
  <c r="O151" i="7"/>
  <c r="V149" i="7"/>
  <c r="S149" i="7"/>
  <c r="O149" i="7"/>
  <c r="V146" i="7"/>
  <c r="S146" i="7"/>
  <c r="O146" i="7"/>
  <c r="V156" i="7"/>
  <c r="S156" i="7"/>
  <c r="O156" i="7"/>
  <c r="V131" i="7"/>
  <c r="S131" i="7"/>
  <c r="O131" i="7"/>
  <c r="V114" i="7"/>
  <c r="S114" i="7"/>
  <c r="O114" i="7"/>
  <c r="V111" i="7"/>
  <c r="S111" i="7"/>
  <c r="O111" i="7"/>
  <c r="V118" i="7"/>
  <c r="S118" i="7"/>
  <c r="O118" i="7"/>
  <c r="V105" i="7"/>
  <c r="S105" i="7"/>
  <c r="O105" i="7"/>
  <c r="O106" i="7"/>
  <c r="S106" i="7"/>
  <c r="V106" i="7"/>
  <c r="V104" i="7"/>
  <c r="S104" i="7"/>
  <c r="O104" i="7"/>
  <c r="V88" i="7"/>
  <c r="S88" i="7"/>
  <c r="O88" i="7"/>
  <c r="V89" i="7"/>
  <c r="S89" i="7"/>
  <c r="O89" i="7"/>
  <c r="V83" i="7"/>
  <c r="S83" i="7"/>
  <c r="O83" i="7"/>
  <c r="V80" i="7"/>
  <c r="S80" i="7"/>
  <c r="O80" i="7"/>
  <c r="V77" i="7"/>
  <c r="S77" i="7"/>
  <c r="O77" i="7"/>
  <c r="V74" i="7"/>
  <c r="S74" i="7"/>
  <c r="O74" i="7"/>
  <c r="V72" i="7"/>
  <c r="S72" i="7"/>
  <c r="O72" i="7"/>
  <c r="V70" i="7"/>
  <c r="S70" i="7"/>
  <c r="O70" i="7"/>
  <c r="V69" i="7"/>
  <c r="S69" i="7"/>
  <c r="O69" i="7"/>
  <c r="V81" i="7"/>
  <c r="S81" i="7"/>
  <c r="O81" i="7"/>
  <c r="V50" i="7"/>
  <c r="S50" i="7"/>
  <c r="O50" i="7"/>
  <c r="V43" i="7"/>
  <c r="S43" i="7"/>
  <c r="O43" i="7"/>
  <c r="V39" i="7"/>
  <c r="S39" i="7"/>
  <c r="O39" i="7"/>
  <c r="V32" i="7"/>
  <c r="S32" i="7"/>
  <c r="O32" i="7"/>
  <c r="V33" i="7"/>
  <c r="S33" i="7"/>
  <c r="O33" i="7"/>
  <c r="V21" i="7"/>
  <c r="S21" i="7"/>
  <c r="O21" i="7"/>
  <c r="V16" i="7"/>
  <c r="S16" i="7"/>
  <c r="O16" i="7"/>
  <c r="V14" i="7"/>
  <c r="S14" i="7"/>
  <c r="O14" i="7"/>
  <c r="V11" i="7"/>
  <c r="S11" i="7"/>
  <c r="O11" i="7"/>
  <c r="V9" i="7"/>
  <c r="S9" i="7"/>
  <c r="O9" i="7"/>
  <c r="V163" i="6"/>
  <c r="S163" i="6"/>
  <c r="O163" i="6"/>
  <c r="V158" i="6"/>
  <c r="S158" i="6"/>
  <c r="O158" i="6"/>
  <c r="V148" i="6"/>
  <c r="S148" i="6"/>
  <c r="O148" i="6"/>
  <c r="V141" i="6"/>
  <c r="S141" i="6"/>
  <c r="O141" i="6"/>
  <c r="V134" i="6"/>
  <c r="S134" i="6"/>
  <c r="O134" i="6"/>
  <c r="V127" i="6"/>
  <c r="S127" i="6"/>
  <c r="O127" i="6"/>
  <c r="V125" i="6"/>
  <c r="S125" i="6"/>
  <c r="O125" i="6"/>
  <c r="V123" i="6"/>
  <c r="S123" i="6"/>
  <c r="O123" i="6"/>
  <c r="V111" i="6"/>
  <c r="S111" i="6"/>
  <c r="O111" i="6"/>
  <c r="V108" i="6"/>
  <c r="S108" i="6"/>
  <c r="O108" i="6"/>
  <c r="V105" i="6"/>
  <c r="S105" i="6"/>
  <c r="O105" i="6"/>
  <c r="V118" i="6"/>
  <c r="S118" i="6"/>
  <c r="O118" i="6"/>
  <c r="V91" i="6"/>
  <c r="S91" i="6"/>
  <c r="O91" i="6"/>
  <c r="V90" i="6"/>
  <c r="S90" i="6"/>
  <c r="O90" i="6"/>
  <c r="V89" i="6"/>
  <c r="S89" i="6"/>
  <c r="O89" i="6"/>
  <c r="V88" i="6"/>
  <c r="S88" i="6"/>
  <c r="O88" i="6"/>
  <c r="V86" i="6"/>
  <c r="S86" i="6"/>
  <c r="O86" i="6"/>
  <c r="V85" i="6"/>
  <c r="S85" i="6"/>
  <c r="O85" i="6"/>
  <c r="V83" i="6"/>
  <c r="S83" i="6"/>
  <c r="O83" i="6"/>
  <c r="V82" i="6"/>
  <c r="S82" i="6"/>
  <c r="O82" i="6"/>
  <c r="V97" i="6"/>
  <c r="S97" i="6"/>
  <c r="O97" i="6"/>
  <c r="V67" i="6"/>
  <c r="S67" i="6"/>
  <c r="O67" i="6"/>
  <c r="V65" i="6"/>
  <c r="S65" i="6"/>
  <c r="O65" i="6"/>
  <c r="V64" i="6"/>
  <c r="S64" i="6"/>
  <c r="O64" i="6"/>
  <c r="V60" i="6"/>
  <c r="S60" i="6"/>
  <c r="O60" i="6"/>
  <c r="V59" i="6"/>
  <c r="S59" i="6"/>
  <c r="O59" i="6"/>
  <c r="V61" i="6"/>
  <c r="S61" i="6"/>
  <c r="O61" i="6"/>
  <c r="V52" i="6"/>
  <c r="S52" i="6"/>
  <c r="O52" i="6"/>
  <c r="V44" i="6"/>
  <c r="S44" i="6"/>
  <c r="O44" i="6"/>
  <c r="V35" i="6"/>
  <c r="S35" i="6"/>
  <c r="O35" i="6"/>
  <c r="V36" i="6"/>
  <c r="S36" i="6"/>
  <c r="O36" i="6"/>
  <c r="V32" i="6"/>
  <c r="S32" i="6"/>
  <c r="O32" i="6"/>
  <c r="V23" i="6"/>
  <c r="S23" i="6"/>
  <c r="O23" i="6"/>
  <c r="V18" i="6"/>
  <c r="S18" i="6"/>
  <c r="O18" i="6"/>
  <c r="V12" i="6"/>
  <c r="S12" i="6"/>
  <c r="O12" i="6"/>
  <c r="T123" i="6" l="1"/>
  <c r="AI122" i="7"/>
  <c r="T45" i="7"/>
  <c r="AH45" i="7" s="1"/>
  <c r="AJ122" i="7"/>
  <c r="AC122" i="7"/>
  <c r="AG122" i="7"/>
  <c r="AB122" i="7"/>
  <c r="AD122" i="7"/>
  <c r="AH122" i="7"/>
  <c r="AF122" i="7"/>
  <c r="W122" i="7"/>
  <c r="AE122" i="7"/>
  <c r="T21" i="7"/>
  <c r="W21" i="7" s="1"/>
  <c r="T15" i="7"/>
  <c r="AI15" i="7" s="1"/>
  <c r="AI45" i="7"/>
  <c r="W45" i="7"/>
  <c r="AG45" i="7"/>
  <c r="AF45" i="7"/>
  <c r="T108" i="6"/>
  <c r="W108" i="6" s="1"/>
  <c r="T85" i="6"/>
  <c r="AH85" i="6" s="1"/>
  <c r="T118" i="6"/>
  <c r="AH118" i="6" s="1"/>
  <c r="T163" i="6"/>
  <c r="AF163" i="6" s="1"/>
  <c r="T134" i="6"/>
  <c r="AI134" i="6" s="1"/>
  <c r="T151" i="7"/>
  <c r="AG151" i="7" s="1"/>
  <c r="T146" i="7"/>
  <c r="AG146" i="7" s="1"/>
  <c r="T156" i="7"/>
  <c r="AI156" i="7" s="1"/>
  <c r="T149" i="7"/>
  <c r="W149" i="7" s="1"/>
  <c r="T131" i="7"/>
  <c r="AI131" i="7" s="1"/>
  <c r="T69" i="7"/>
  <c r="AJ69" i="7" s="1"/>
  <c r="T72" i="7"/>
  <c r="AE72" i="7" s="1"/>
  <c r="T50" i="7"/>
  <c r="AF50" i="7" s="1"/>
  <c r="T77" i="7"/>
  <c r="AG77" i="7" s="1"/>
  <c r="T118" i="7"/>
  <c r="AE118" i="7" s="1"/>
  <c r="T111" i="7"/>
  <c r="AG111" i="7" s="1"/>
  <c r="T114" i="7"/>
  <c r="W114" i="7" s="1"/>
  <c r="T106" i="7"/>
  <c r="W106" i="7" s="1"/>
  <c r="AH118" i="7"/>
  <c r="T105" i="7"/>
  <c r="AI105" i="7" s="1"/>
  <c r="T104" i="7"/>
  <c r="AG104" i="7" s="1"/>
  <c r="T89" i="7"/>
  <c r="AE89" i="7" s="1"/>
  <c r="T88" i="7"/>
  <c r="AI88" i="7" s="1"/>
  <c r="T83" i="7"/>
  <c r="AI83" i="7" s="1"/>
  <c r="T33" i="7"/>
  <c r="AE33" i="7" s="1"/>
  <c r="T14" i="7"/>
  <c r="AD14" i="7" s="1"/>
  <c r="T74" i="7"/>
  <c r="AH74" i="7" s="1"/>
  <c r="T80" i="7"/>
  <c r="AC80" i="7" s="1"/>
  <c r="T70" i="7"/>
  <c r="AE70" i="7" s="1"/>
  <c r="T81" i="7"/>
  <c r="AI81" i="7" s="1"/>
  <c r="W50" i="7"/>
  <c r="T43" i="7"/>
  <c r="AI43" i="7" s="1"/>
  <c r="T39" i="7"/>
  <c r="AI39" i="7" s="1"/>
  <c r="T32" i="7"/>
  <c r="AI32" i="7" s="1"/>
  <c r="T16" i="7"/>
  <c r="AE16" i="7" s="1"/>
  <c r="T11" i="7"/>
  <c r="AI11" i="7" s="1"/>
  <c r="T9" i="7"/>
  <c r="AJ163" i="6"/>
  <c r="W163" i="6"/>
  <c r="AI163" i="6"/>
  <c r="AE163" i="6"/>
  <c r="AD163" i="6"/>
  <c r="AK163" i="6"/>
  <c r="AG163" i="6"/>
  <c r="T158" i="6"/>
  <c r="AJ158" i="6" s="1"/>
  <c r="T148" i="6"/>
  <c r="AJ148" i="6" s="1"/>
  <c r="T111" i="6"/>
  <c r="AD111" i="6" s="1"/>
  <c r="T105" i="6"/>
  <c r="AI105" i="6" s="1"/>
  <c r="T125" i="6"/>
  <c r="AH125" i="6" s="1"/>
  <c r="T141" i="6"/>
  <c r="AI141" i="6" s="1"/>
  <c r="T127" i="6"/>
  <c r="AJ127" i="6" s="1"/>
  <c r="AJ123" i="6"/>
  <c r="AF123" i="6"/>
  <c r="W123" i="6"/>
  <c r="AI123" i="6"/>
  <c r="AE123" i="6"/>
  <c r="AH123" i="6"/>
  <c r="AD123" i="6"/>
  <c r="AK123" i="6"/>
  <c r="AG123" i="6"/>
  <c r="AC123" i="6"/>
  <c r="W127" i="6"/>
  <c r="AK127" i="6"/>
  <c r="AI125" i="6"/>
  <c r="AE134" i="6"/>
  <c r="W125" i="6"/>
  <c r="AJ125" i="6"/>
  <c r="AJ134" i="6"/>
  <c r="AC125" i="6"/>
  <c r="AC134" i="6"/>
  <c r="AG134" i="6"/>
  <c r="AD125" i="6"/>
  <c r="AD134" i="6"/>
  <c r="AD108" i="6"/>
  <c r="AJ108" i="6"/>
  <c r="AF108" i="6"/>
  <c r="AF111" i="6"/>
  <c r="AG111" i="6"/>
  <c r="AC108" i="6"/>
  <c r="AG108" i="6"/>
  <c r="AK118" i="6"/>
  <c r="T89" i="6"/>
  <c r="AJ89" i="6" s="1"/>
  <c r="T88" i="6"/>
  <c r="AK88" i="6" s="1"/>
  <c r="T97" i="6"/>
  <c r="AJ97" i="6" s="1"/>
  <c r="T86" i="6"/>
  <c r="AJ86" i="6" s="1"/>
  <c r="T83" i="6"/>
  <c r="AH83" i="6" s="1"/>
  <c r="T90" i="6"/>
  <c r="AE90" i="6" s="1"/>
  <c r="T91" i="6"/>
  <c r="W91" i="6" s="1"/>
  <c r="T82" i="6"/>
  <c r="AD82" i="6" s="1"/>
  <c r="W85" i="6"/>
  <c r="AF91" i="6"/>
  <c r="T64" i="6"/>
  <c r="AG64" i="6" s="1"/>
  <c r="T67" i="6"/>
  <c r="AJ67" i="6" s="1"/>
  <c r="T65" i="6"/>
  <c r="AJ65" i="6" s="1"/>
  <c r="T60" i="6"/>
  <c r="W60" i="6" s="1"/>
  <c r="T23" i="6"/>
  <c r="AF23" i="6" s="1"/>
  <c r="T61" i="6"/>
  <c r="AF61" i="6" s="1"/>
  <c r="T59" i="6"/>
  <c r="AJ59" i="6" s="1"/>
  <c r="T52" i="6"/>
  <c r="AJ52" i="6" s="1"/>
  <c r="T44" i="6"/>
  <c r="AF44" i="6" s="1"/>
  <c r="T36" i="6"/>
  <c r="AJ36" i="6" s="1"/>
  <c r="T35" i="6"/>
  <c r="AJ35" i="6" s="1"/>
  <c r="T32" i="6"/>
  <c r="AJ32" i="6" s="1"/>
  <c r="T18" i="6"/>
  <c r="AJ18" i="6" s="1"/>
  <c r="T12" i="6"/>
  <c r="AJ12" i="6" s="1"/>
  <c r="AK85" i="6" l="1"/>
  <c r="AD85" i="6"/>
  <c r="W97" i="6"/>
  <c r="AI89" i="6"/>
  <c r="AH111" i="6"/>
  <c r="AK125" i="6"/>
  <c r="AF125" i="6"/>
  <c r="AE125" i="6"/>
  <c r="AC163" i="6"/>
  <c r="AH163" i="6"/>
  <c r="AO163" i="6" s="1"/>
  <c r="AI97" i="6"/>
  <c r="AG91" i="6"/>
  <c r="AD118" i="6"/>
  <c r="AJ118" i="6"/>
  <c r="AD97" i="6"/>
  <c r="AK97" i="6"/>
  <c r="AC83" i="6"/>
  <c r="AF118" i="6"/>
  <c r="AH105" i="6"/>
  <c r="W118" i="6"/>
  <c r="AG118" i="6"/>
  <c r="AK105" i="6"/>
  <c r="W105" i="6"/>
  <c r="AE97" i="6"/>
  <c r="AG97" i="6"/>
  <c r="AI91" i="6"/>
  <c r="AH91" i="6"/>
  <c r="W82" i="6"/>
  <c r="AI118" i="6"/>
  <c r="AC118" i="6"/>
  <c r="AG105" i="6"/>
  <c r="AD105" i="6"/>
  <c r="AJ105" i="6"/>
  <c r="AF97" i="6"/>
  <c r="AH97" i="6"/>
  <c r="AC97" i="6"/>
  <c r="AE91" i="6"/>
  <c r="AD91" i="6"/>
  <c r="AE118" i="6"/>
  <c r="AE105" i="6"/>
  <c r="AC105" i="6"/>
  <c r="AF105" i="6"/>
  <c r="AJ15" i="7"/>
  <c r="AC15" i="7"/>
  <c r="AD15" i="7"/>
  <c r="AB15" i="7"/>
  <c r="W15" i="7"/>
  <c r="AB50" i="7"/>
  <c r="AC45" i="7"/>
  <c r="AE45" i="7"/>
  <c r="AB45" i="7"/>
  <c r="AD45" i="7"/>
  <c r="AF15" i="7"/>
  <c r="AH15" i="7"/>
  <c r="W33" i="7"/>
  <c r="AG9" i="7"/>
  <c r="AJ9" i="7"/>
  <c r="AB146" i="7"/>
  <c r="AE50" i="7"/>
  <c r="AJ50" i="7"/>
  <c r="AC50" i="7"/>
  <c r="AE146" i="7"/>
  <c r="AH50" i="7"/>
  <c r="AG50" i="7"/>
  <c r="AB149" i="7"/>
  <c r="AF118" i="7"/>
  <c r="AE156" i="7"/>
  <c r="AB21" i="7"/>
  <c r="AH156" i="7"/>
  <c r="AF14" i="7"/>
  <c r="AG21" i="7"/>
  <c r="AC156" i="7"/>
  <c r="AE149" i="7"/>
  <c r="AE21" i="7"/>
  <c r="AF85" i="6"/>
  <c r="AG85" i="6"/>
  <c r="AC111" i="6"/>
  <c r="AD72" i="7"/>
  <c r="AI108" i="6"/>
  <c r="AH127" i="6"/>
  <c r="AO127" i="6" s="1"/>
  <c r="AH134" i="6"/>
  <c r="AJ21" i="7"/>
  <c r="AH21" i="7"/>
  <c r="AB72" i="7"/>
  <c r="W72" i="7"/>
  <c r="AJ149" i="7"/>
  <c r="AJ85" i="6"/>
  <c r="AI111" i="6"/>
  <c r="AD127" i="6"/>
  <c r="AF127" i="6"/>
  <c r="AB14" i="7"/>
  <c r="AF21" i="7"/>
  <c r="AD21" i="7"/>
  <c r="AI21" i="7"/>
  <c r="AD83" i="6"/>
  <c r="AC85" i="6"/>
  <c r="AI85" i="6"/>
  <c r="AJ111" i="6"/>
  <c r="AH108" i="6"/>
  <c r="AK108" i="6"/>
  <c r="AF134" i="6"/>
  <c r="AI88" i="6"/>
  <c r="AE85" i="6"/>
  <c r="AK90" i="6"/>
  <c r="AE111" i="6"/>
  <c r="AK111" i="6"/>
  <c r="AE108" i="6"/>
  <c r="W111" i="6"/>
  <c r="AK134" i="6"/>
  <c r="AG125" i="6"/>
  <c r="AL125" i="6" s="1"/>
  <c r="AN125" i="6" s="1"/>
  <c r="W134" i="6"/>
  <c r="AC127" i="6"/>
  <c r="AI127" i="6"/>
  <c r="AC21" i="7"/>
  <c r="AC33" i="7"/>
  <c r="AD70" i="7"/>
  <c r="AJ72" i="7"/>
  <c r="AD149" i="7"/>
  <c r="AJ45" i="7"/>
  <c r="AK45" i="7" s="1"/>
  <c r="AM45" i="7" s="1"/>
  <c r="W77" i="7"/>
  <c r="AI146" i="7"/>
  <c r="AF149" i="7"/>
  <c r="AH149" i="7"/>
  <c r="AG15" i="7"/>
  <c r="AE15" i="7"/>
  <c r="AF146" i="7"/>
  <c r="AH146" i="7"/>
  <c r="AG149" i="7"/>
  <c r="AI149" i="7"/>
  <c r="AJ33" i="7"/>
  <c r="AI33" i="7"/>
  <c r="AC77" i="7"/>
  <c r="AG72" i="7"/>
  <c r="W156" i="7"/>
  <c r="AJ156" i="7"/>
  <c r="AD33" i="7"/>
  <c r="AF77" i="7"/>
  <c r="AH72" i="7"/>
  <c r="AK72" i="7" s="1"/>
  <c r="AM72" i="7" s="1"/>
  <c r="AJ77" i="7"/>
  <c r="AB156" i="7"/>
  <c r="AI83" i="6"/>
  <c r="AD86" i="6"/>
  <c r="AK91" i="6"/>
  <c r="AG127" i="6"/>
  <c r="AE127" i="6"/>
  <c r="AE141" i="6"/>
  <c r="AK64" i="6"/>
  <c r="AC82" i="6"/>
  <c r="AI86" i="6"/>
  <c r="AE82" i="6"/>
  <c r="AD89" i="6"/>
  <c r="AH82" i="6"/>
  <c r="AC141" i="6"/>
  <c r="AG105" i="7"/>
  <c r="AD111" i="7"/>
  <c r="AI89" i="7"/>
  <c r="AD106" i="7"/>
  <c r="AB77" i="7"/>
  <c r="AD77" i="7"/>
  <c r="AC69" i="7"/>
  <c r="AI72" i="7"/>
  <c r="AC111" i="7"/>
  <c r="AD156" i="7"/>
  <c r="AC151" i="7"/>
  <c r="AG14" i="7"/>
  <c r="AF72" i="7"/>
  <c r="AH77" i="7"/>
  <c r="AB70" i="7"/>
  <c r="AE77" i="7"/>
  <c r="AC72" i="7"/>
  <c r="W105" i="7"/>
  <c r="AG106" i="7"/>
  <c r="AJ111" i="7"/>
  <c r="AC105" i="7"/>
  <c r="AN122" i="7"/>
  <c r="AK122" i="7"/>
  <c r="AM122" i="7" s="1"/>
  <c r="AD74" i="7"/>
  <c r="AF69" i="7"/>
  <c r="AH69" i="7"/>
  <c r="AJ118" i="7"/>
  <c r="W118" i="7"/>
  <c r="AJ151" i="7"/>
  <c r="AB69" i="7"/>
  <c r="AD69" i="7"/>
  <c r="AI69" i="7"/>
  <c r="AE69" i="7"/>
  <c r="AG69" i="7"/>
  <c r="AC118" i="7"/>
  <c r="AI118" i="7"/>
  <c r="AJ131" i="7"/>
  <c r="AF151" i="7"/>
  <c r="AI151" i="7"/>
  <c r="AH151" i="7"/>
  <c r="W69" i="7"/>
  <c r="AD118" i="7"/>
  <c r="AB151" i="7"/>
  <c r="W151" i="7"/>
  <c r="AD151" i="7"/>
  <c r="AN45" i="7"/>
  <c r="W80" i="7"/>
  <c r="AG131" i="7"/>
  <c r="W14" i="7"/>
  <c r="AF33" i="7"/>
  <c r="AH33" i="7"/>
  <c r="AD50" i="7"/>
  <c r="AI50" i="7"/>
  <c r="AJ74" i="7"/>
  <c r="AI77" i="7"/>
  <c r="AJ105" i="7"/>
  <c r="AE105" i="7"/>
  <c r="AH106" i="7"/>
  <c r="AI111" i="7"/>
  <c r="AF156" i="7"/>
  <c r="AG156" i="7"/>
  <c r="AC146" i="7"/>
  <c r="AJ146" i="7"/>
  <c r="AE151" i="7"/>
  <c r="W146" i="7"/>
  <c r="AD146" i="7"/>
  <c r="AC149" i="7"/>
  <c r="AI23" i="6"/>
  <c r="AD88" i="6"/>
  <c r="W23" i="6"/>
  <c r="AF86" i="6"/>
  <c r="AF82" i="6"/>
  <c r="AC88" i="6"/>
  <c r="AI82" i="6"/>
  <c r="AF83" i="6"/>
  <c r="AJ82" i="6"/>
  <c r="AG141" i="6"/>
  <c r="W141" i="6"/>
  <c r="AD141" i="6"/>
  <c r="AF141" i="6"/>
  <c r="AG23" i="6"/>
  <c r="W59" i="6"/>
  <c r="AG65" i="6"/>
  <c r="AG86" i="6"/>
  <c r="AK82" i="6"/>
  <c r="AC90" i="6"/>
  <c r="AE86" i="6"/>
  <c r="AH90" i="6"/>
  <c r="W86" i="6"/>
  <c r="AH141" i="6"/>
  <c r="AE61" i="6"/>
  <c r="AE88" i="6"/>
  <c r="AD90" i="6"/>
  <c r="AE23" i="6"/>
  <c r="W65" i="6"/>
  <c r="AF89" i="6"/>
  <c r="AG89" i="6"/>
  <c r="AG82" i="6"/>
  <c r="AG90" i="6"/>
  <c r="AG88" i="6"/>
  <c r="AG83" i="6"/>
  <c r="AK86" i="6"/>
  <c r="AH89" i="6"/>
  <c r="AH86" i="6"/>
  <c r="AC86" i="6"/>
  <c r="AH88" i="6"/>
  <c r="W90" i="6"/>
  <c r="AJ141" i="6"/>
  <c r="AJ90" i="6"/>
  <c r="AJ88" i="6"/>
  <c r="W88" i="6"/>
  <c r="AK61" i="6"/>
  <c r="AH65" i="6"/>
  <c r="AK23" i="6"/>
  <c r="AF65" i="6"/>
  <c r="AI90" i="6"/>
  <c r="AE89" i="6"/>
  <c r="AE83" i="6"/>
  <c r="AF90" i="6"/>
  <c r="AF88" i="6"/>
  <c r="AD65" i="6"/>
  <c r="AE65" i="6"/>
  <c r="W61" i="6"/>
  <c r="AK65" i="6"/>
  <c r="AB74" i="7"/>
  <c r="AB111" i="7"/>
  <c r="AF80" i="7"/>
  <c r="AF74" i="7"/>
  <c r="W74" i="7"/>
  <c r="AG74" i="7"/>
  <c r="AE74" i="7"/>
  <c r="AJ106" i="7"/>
  <c r="AF111" i="7"/>
  <c r="AE111" i="7"/>
  <c r="W131" i="7"/>
  <c r="AG114" i="7"/>
  <c r="AI74" i="7"/>
  <c r="AC74" i="7"/>
  <c r="AE131" i="7"/>
  <c r="AJ80" i="7"/>
  <c r="AJ104" i="7"/>
  <c r="AB106" i="7"/>
  <c r="AB104" i="7"/>
  <c r="AI80" i="7"/>
  <c r="AE106" i="7"/>
  <c r="AD114" i="7"/>
  <c r="AC131" i="7"/>
  <c r="AB33" i="7"/>
  <c r="AG33" i="7"/>
  <c r="AD80" i="7"/>
  <c r="AB80" i="7"/>
  <c r="AJ70" i="7"/>
  <c r="AE80" i="7"/>
  <c r="AC89" i="7"/>
  <c r="AH104" i="7"/>
  <c r="AI106" i="7"/>
  <c r="AB118" i="7"/>
  <c r="AG118" i="7"/>
  <c r="W111" i="7"/>
  <c r="AH111" i="7"/>
  <c r="AB114" i="7"/>
  <c r="AE114" i="7"/>
  <c r="AB131" i="7"/>
  <c r="AH131" i="7"/>
  <c r="AD104" i="7"/>
  <c r="AJ114" i="7"/>
  <c r="AI114" i="7"/>
  <c r="AF106" i="7"/>
  <c r="AB105" i="7"/>
  <c r="AH105" i="7"/>
  <c r="AC106" i="7"/>
  <c r="AF114" i="7"/>
  <c r="AH114" i="7"/>
  <c r="AF131" i="7"/>
  <c r="AD131" i="7"/>
  <c r="AF89" i="7"/>
  <c r="AI104" i="7"/>
  <c r="AC104" i="7"/>
  <c r="AE104" i="7"/>
  <c r="AH70" i="7"/>
  <c r="AC14" i="7"/>
  <c r="AI14" i="7"/>
  <c r="AH14" i="7"/>
  <c r="AJ14" i="7"/>
  <c r="AE14" i="7"/>
  <c r="AF70" i="7"/>
  <c r="W70" i="7"/>
  <c r="AG80" i="7"/>
  <c r="AH80" i="7"/>
  <c r="AC83" i="7"/>
  <c r="AH89" i="7"/>
  <c r="AF104" i="7"/>
  <c r="W104" i="7"/>
  <c r="AD89" i="7"/>
  <c r="AJ89" i="7"/>
  <c r="W89" i="7"/>
  <c r="AJ83" i="7"/>
  <c r="AI16" i="7"/>
  <c r="AG70" i="7"/>
  <c r="AB89" i="7"/>
  <c r="AG89" i="7"/>
  <c r="AE43" i="7"/>
  <c r="W81" i="7"/>
  <c r="AC114" i="7"/>
  <c r="AF105" i="7"/>
  <c r="AD105" i="7"/>
  <c r="AC70" i="7"/>
  <c r="AH83" i="7"/>
  <c r="W88" i="7"/>
  <c r="AI70" i="7"/>
  <c r="W83" i="7"/>
  <c r="AH88" i="7"/>
  <c r="AC88" i="7"/>
  <c r="AJ88" i="7"/>
  <c r="AD88" i="7"/>
  <c r="AF88" i="7"/>
  <c r="AE88" i="7"/>
  <c r="AG88" i="7"/>
  <c r="AB88" i="7"/>
  <c r="AB83" i="7"/>
  <c r="AG83" i="7"/>
  <c r="AE83" i="7"/>
  <c r="AF83" i="7"/>
  <c r="AD83" i="7"/>
  <c r="AD16" i="7"/>
  <c r="AF16" i="7"/>
  <c r="AH39" i="7"/>
  <c r="AC32" i="7"/>
  <c r="W32" i="7"/>
  <c r="AC43" i="7"/>
  <c r="AG43" i="7"/>
  <c r="AJ16" i="7"/>
  <c r="AH16" i="7"/>
  <c r="AC16" i="7"/>
  <c r="W16" i="7"/>
  <c r="AB43" i="7"/>
  <c r="AH43" i="7"/>
  <c r="AB16" i="7"/>
  <c r="AG16" i="7"/>
  <c r="AH32" i="7"/>
  <c r="AJ39" i="7"/>
  <c r="AJ43" i="7"/>
  <c r="W43" i="7"/>
  <c r="AJ81" i="7"/>
  <c r="AC81" i="7"/>
  <c r="AH81" i="7"/>
  <c r="AB81" i="7"/>
  <c r="AG81" i="7"/>
  <c r="AE81" i="7"/>
  <c r="AF81" i="7"/>
  <c r="AD81" i="7"/>
  <c r="AF43" i="7"/>
  <c r="AD43" i="7"/>
  <c r="AC39" i="7"/>
  <c r="W39" i="7"/>
  <c r="AB39" i="7"/>
  <c r="AG39" i="7"/>
  <c r="AE39" i="7"/>
  <c r="AF39" i="7"/>
  <c r="AD39" i="7"/>
  <c r="AJ32" i="7"/>
  <c r="AE32" i="7"/>
  <c r="AD32" i="7"/>
  <c r="AF32" i="7"/>
  <c r="AG32" i="7"/>
  <c r="AB32" i="7"/>
  <c r="W9" i="7"/>
  <c r="AI9" i="7"/>
  <c r="AJ11" i="7"/>
  <c r="AC11" i="7"/>
  <c r="W11" i="7"/>
  <c r="AH11" i="7"/>
  <c r="AB11" i="7"/>
  <c r="AG11" i="7"/>
  <c r="AE11" i="7"/>
  <c r="AF11" i="7"/>
  <c r="AD11" i="7"/>
  <c r="AD9" i="7"/>
  <c r="AF9" i="7"/>
  <c r="AH9" i="7"/>
  <c r="AE9" i="7"/>
  <c r="AB9" i="7"/>
  <c r="AC9" i="7"/>
  <c r="AI148" i="6"/>
  <c r="W148" i="6"/>
  <c r="AK141" i="6"/>
  <c r="AK148" i="6"/>
  <c r="AK158" i="6"/>
  <c r="AD158" i="6"/>
  <c r="W158" i="6"/>
  <c r="AI158" i="6"/>
  <c r="AC158" i="6"/>
  <c r="AH158" i="6"/>
  <c r="AF158" i="6"/>
  <c r="AG158" i="6"/>
  <c r="AE158" i="6"/>
  <c r="AC89" i="6"/>
  <c r="AD23" i="6"/>
  <c r="AJ23" i="6"/>
  <c r="AI65" i="6"/>
  <c r="AC65" i="6"/>
  <c r="AF64" i="6"/>
  <c r="AC91" i="6"/>
  <c r="AD148" i="6"/>
  <c r="AC148" i="6"/>
  <c r="AH148" i="6"/>
  <c r="AF148" i="6"/>
  <c r="AG148" i="6"/>
  <c r="AE148" i="6"/>
  <c r="AH60" i="6"/>
  <c r="AD59" i="6"/>
  <c r="AF60" i="6"/>
  <c r="AC60" i="6"/>
  <c r="AE64" i="6"/>
  <c r="AD64" i="6"/>
  <c r="AI64" i="6"/>
  <c r="AH64" i="6"/>
  <c r="AK67" i="6"/>
  <c r="W64" i="6"/>
  <c r="AC64" i="6"/>
  <c r="W67" i="6"/>
  <c r="AG61" i="6"/>
  <c r="AI61" i="6"/>
  <c r="AD61" i="6"/>
  <c r="AJ61" i="6"/>
  <c r="W89" i="6"/>
  <c r="AK59" i="6"/>
  <c r="AF59" i="6"/>
  <c r="AE60" i="6"/>
  <c r="W83" i="6"/>
  <c r="AK83" i="6"/>
  <c r="AC23" i="6"/>
  <c r="AH23" i="6"/>
  <c r="AC61" i="6"/>
  <c r="AH61" i="6"/>
  <c r="AH59" i="6"/>
  <c r="AK60" i="6"/>
  <c r="AJ60" i="6"/>
  <c r="AJ64" i="6"/>
  <c r="AD67" i="6"/>
  <c r="AJ83" i="6"/>
  <c r="AK89" i="6"/>
  <c r="AJ91" i="6"/>
  <c r="AL134" i="6"/>
  <c r="AN134" i="6" s="1"/>
  <c r="AO134" i="6"/>
  <c r="AO123" i="6"/>
  <c r="AL123" i="6"/>
  <c r="AN123" i="6" s="1"/>
  <c r="AC59" i="6"/>
  <c r="AI59" i="6"/>
  <c r="AG60" i="6"/>
  <c r="AI60" i="6"/>
  <c r="AG59" i="6"/>
  <c r="AE59" i="6"/>
  <c r="AD60" i="6"/>
  <c r="AK36" i="6"/>
  <c r="AG44" i="6"/>
  <c r="AK52" i="6"/>
  <c r="W36" i="6"/>
  <c r="AD52" i="6"/>
  <c r="AD36" i="6"/>
  <c r="AF36" i="6"/>
  <c r="AH36" i="6"/>
  <c r="AI52" i="6"/>
  <c r="AC36" i="6"/>
  <c r="AI36" i="6"/>
  <c r="AI44" i="6"/>
  <c r="W52" i="6"/>
  <c r="AI67" i="6"/>
  <c r="AD35" i="6"/>
  <c r="AC67" i="6"/>
  <c r="AH67" i="6"/>
  <c r="AF67" i="6"/>
  <c r="AG67" i="6"/>
  <c r="AE67" i="6"/>
  <c r="AK32" i="6"/>
  <c r="AG36" i="6"/>
  <c r="AE36" i="6"/>
  <c r="W35" i="6"/>
  <c r="W44" i="6"/>
  <c r="W18" i="6"/>
  <c r="AK35" i="6"/>
  <c r="AE44" i="6"/>
  <c r="AC18" i="6"/>
  <c r="AH35" i="6"/>
  <c r="AK44" i="6"/>
  <c r="AJ44" i="6"/>
  <c r="AD18" i="6"/>
  <c r="AH18" i="6"/>
  <c r="AC35" i="6"/>
  <c r="AI35" i="6"/>
  <c r="AC52" i="6"/>
  <c r="AH52" i="6"/>
  <c r="AF52" i="6"/>
  <c r="AG52" i="6"/>
  <c r="AE52" i="6"/>
  <c r="AD44" i="6"/>
  <c r="AC44" i="6"/>
  <c r="AH44" i="6"/>
  <c r="AG12" i="6"/>
  <c r="AI12" i="6"/>
  <c r="AG18" i="6"/>
  <c r="AE18" i="6"/>
  <c r="AD32" i="6"/>
  <c r="AK12" i="6"/>
  <c r="W12" i="6"/>
  <c r="AK18" i="6"/>
  <c r="AI18" i="6"/>
  <c r="AI32" i="6"/>
  <c r="AD12" i="6"/>
  <c r="W32" i="6"/>
  <c r="AE12" i="6"/>
  <c r="AF35" i="6"/>
  <c r="AG35" i="6"/>
  <c r="AE35" i="6"/>
  <c r="AC32" i="6"/>
  <c r="AH32" i="6"/>
  <c r="AF32" i="6"/>
  <c r="AG32" i="6"/>
  <c r="AE32" i="6"/>
  <c r="AF18" i="6"/>
  <c r="AC12" i="6"/>
  <c r="AH12" i="6"/>
  <c r="AF12" i="6"/>
  <c r="AO97" i="6" l="1"/>
  <c r="AL127" i="6"/>
  <c r="AN127" i="6" s="1"/>
  <c r="AO111" i="6"/>
  <c r="AL163" i="6"/>
  <c r="AN163" i="6" s="1"/>
  <c r="U163" i="6" s="1"/>
  <c r="AO105" i="6"/>
  <c r="AO118" i="6"/>
  <c r="AL118" i="6"/>
  <c r="AN118" i="6" s="1"/>
  <c r="U118" i="6" s="1"/>
  <c r="AO85" i="6"/>
  <c r="AL108" i="6"/>
  <c r="AN108" i="6" s="1"/>
  <c r="AL105" i="6"/>
  <c r="AN105" i="6" s="1"/>
  <c r="AL97" i="6"/>
  <c r="AN97" i="6" s="1"/>
  <c r="U97" i="6" s="1"/>
  <c r="AO108" i="6"/>
  <c r="AL91" i="6"/>
  <c r="AN91" i="6" s="1"/>
  <c r="AO90" i="6"/>
  <c r="AL85" i="6"/>
  <c r="AN85" i="6" s="1"/>
  <c r="AO125" i="6"/>
  <c r="U125" i="6" s="1"/>
  <c r="AL90" i="6"/>
  <c r="AN90" i="6" s="1"/>
  <c r="AL111" i="6"/>
  <c r="AN111" i="6" s="1"/>
  <c r="U111" i="6" s="1"/>
  <c r="AL89" i="6"/>
  <c r="AN89" i="6" s="1"/>
  <c r="AO65" i="6"/>
  <c r="AL88" i="6"/>
  <c r="AN88" i="6" s="1"/>
  <c r="AO86" i="6"/>
  <c r="AO82" i="6"/>
  <c r="AN15" i="7"/>
  <c r="AK118" i="7"/>
  <c r="AM118" i="7" s="1"/>
  <c r="AN50" i="7"/>
  <c r="AN106" i="7"/>
  <c r="AK111" i="7"/>
  <c r="AM111" i="7" s="1"/>
  <c r="AK80" i="7"/>
  <c r="AM80" i="7" s="1"/>
  <c r="AN151" i="7"/>
  <c r="AK146" i="7"/>
  <c r="AM146" i="7" s="1"/>
  <c r="AK21" i="7"/>
  <c r="AM21" i="7" s="1"/>
  <c r="AK15" i="7"/>
  <c r="AM15" i="7" s="1"/>
  <c r="AN118" i="7"/>
  <c r="AK106" i="7"/>
  <c r="AM106" i="7" s="1"/>
  <c r="U106" i="7" s="1"/>
  <c r="AK70" i="7"/>
  <c r="AM70" i="7" s="1"/>
  <c r="AN111" i="7"/>
  <c r="AN74" i="7"/>
  <c r="AK77" i="7"/>
  <c r="AM77" i="7" s="1"/>
  <c r="AN114" i="7"/>
  <c r="AN156" i="7"/>
  <c r="AK151" i="7"/>
  <c r="AM151" i="7" s="1"/>
  <c r="AK69" i="7"/>
  <c r="AM69" i="7" s="1"/>
  <c r="AN72" i="7"/>
  <c r="U72" i="7" s="1"/>
  <c r="AN33" i="7"/>
  <c r="AN146" i="7"/>
  <c r="AN149" i="7"/>
  <c r="AN21" i="7"/>
  <c r="U21" i="7" s="1"/>
  <c r="AN77" i="7"/>
  <c r="AK50" i="7"/>
  <c r="AM50" i="7" s="1"/>
  <c r="U50" i="7" s="1"/>
  <c r="AK14" i="7"/>
  <c r="AM14" i="7" s="1"/>
  <c r="AK74" i="7"/>
  <c r="AM74" i="7" s="1"/>
  <c r="AK156" i="7"/>
  <c r="AM156" i="7" s="1"/>
  <c r="AK149" i="7"/>
  <c r="AM149" i="7" s="1"/>
  <c r="AO141" i="6"/>
  <c r="AK33" i="7"/>
  <c r="AM33" i="7" s="1"/>
  <c r="AN69" i="7"/>
  <c r="AK114" i="7"/>
  <c r="AM114" i="7" s="1"/>
  <c r="AK104" i="7"/>
  <c r="AM104" i="7" s="1"/>
  <c r="U45" i="7"/>
  <c r="AN105" i="7"/>
  <c r="AO91" i="6"/>
  <c r="U91" i="6" s="1"/>
  <c r="AO61" i="6"/>
  <c r="AL148" i="6"/>
  <c r="AN148" i="6" s="1"/>
  <c r="AO23" i="6"/>
  <c r="AL86" i="6"/>
  <c r="AN86" i="6" s="1"/>
  <c r="U86" i="6" s="1"/>
  <c r="U122" i="7"/>
  <c r="AK131" i="7"/>
  <c r="AM131" i="7" s="1"/>
  <c r="AN104" i="7"/>
  <c r="AN131" i="7"/>
  <c r="U15" i="7"/>
  <c r="U127" i="6"/>
  <c r="AL82" i="6"/>
  <c r="AN82" i="6" s="1"/>
  <c r="AO88" i="6"/>
  <c r="AO60" i="6"/>
  <c r="U123" i="6"/>
  <c r="AO148" i="6"/>
  <c r="AL65" i="6"/>
  <c r="AN65" i="6" s="1"/>
  <c r="AL141" i="6"/>
  <c r="AN141" i="6" s="1"/>
  <c r="U141" i="6" s="1"/>
  <c r="AL23" i="6"/>
  <c r="AN23" i="6" s="1"/>
  <c r="U23" i="6" s="1"/>
  <c r="U156" i="7"/>
  <c r="U151" i="7"/>
  <c r="AN89" i="7"/>
  <c r="AK16" i="7"/>
  <c r="AM16" i="7" s="1"/>
  <c r="AN14" i="7"/>
  <c r="AK89" i="7"/>
  <c r="AM89" i="7" s="1"/>
  <c r="AN70" i="7"/>
  <c r="AN80" i="7"/>
  <c r="U118" i="7"/>
  <c r="AK105" i="7"/>
  <c r="AM105" i="7" s="1"/>
  <c r="U105" i="7" s="1"/>
  <c r="AN83" i="7"/>
  <c r="AN16" i="7"/>
  <c r="AN88" i="7"/>
  <c r="AN43" i="7"/>
  <c r="AK83" i="7"/>
  <c r="AM83" i="7" s="1"/>
  <c r="U83" i="7" s="1"/>
  <c r="AK88" i="7"/>
  <c r="AM88" i="7" s="1"/>
  <c r="AN81" i="7"/>
  <c r="AK81" i="7"/>
  <c r="AM81" i="7" s="1"/>
  <c r="AN32" i="7"/>
  <c r="AN39" i="7"/>
  <c r="AK43" i="7"/>
  <c r="AM43" i="7" s="1"/>
  <c r="AK39" i="7"/>
  <c r="AM39" i="7" s="1"/>
  <c r="AK9" i="7"/>
  <c r="AM9" i="7" s="1"/>
  <c r="AK32" i="7"/>
  <c r="AM32" i="7" s="1"/>
  <c r="AN11" i="7"/>
  <c r="AN9" i="7"/>
  <c r="AK11" i="7"/>
  <c r="AM11" i="7" s="1"/>
  <c r="AO158" i="6"/>
  <c r="AO89" i="6"/>
  <c r="AL158" i="6"/>
  <c r="AN158" i="6" s="1"/>
  <c r="U148" i="6"/>
  <c r="AL12" i="6"/>
  <c r="AN12" i="6" s="1"/>
  <c r="AO36" i="6"/>
  <c r="AO59" i="6"/>
  <c r="AO83" i="6"/>
  <c r="AL60" i="6"/>
  <c r="AN60" i="6" s="1"/>
  <c r="AL61" i="6"/>
  <c r="AN61" i="6" s="1"/>
  <c r="AL64" i="6"/>
  <c r="AN64" i="6" s="1"/>
  <c r="AL36" i="6"/>
  <c r="AN36" i="6" s="1"/>
  <c r="AL59" i="6"/>
  <c r="AN59" i="6" s="1"/>
  <c r="AO64" i="6"/>
  <c r="AL83" i="6"/>
  <c r="AN83" i="6" s="1"/>
  <c r="U134" i="6"/>
  <c r="AO67" i="6"/>
  <c r="AL67" i="6"/>
  <c r="AN67" i="6" s="1"/>
  <c r="AO18" i="6"/>
  <c r="AL18" i="6"/>
  <c r="AN18" i="6" s="1"/>
  <c r="AO35" i="6"/>
  <c r="AO44" i="6"/>
  <c r="AO52" i="6"/>
  <c r="AL52" i="6"/>
  <c r="AN52" i="6" s="1"/>
  <c r="AL44" i="6"/>
  <c r="AN44" i="6" s="1"/>
  <c r="AO32" i="6"/>
  <c r="AL35" i="6"/>
  <c r="AN35" i="6" s="1"/>
  <c r="AL32" i="6"/>
  <c r="AN32" i="6" s="1"/>
  <c r="AO12" i="6"/>
  <c r="U88" i="6" l="1"/>
  <c r="U105" i="6"/>
  <c r="U108" i="6"/>
  <c r="U85" i="6"/>
  <c r="U89" i="6"/>
  <c r="U65" i="6"/>
  <c r="U158" i="6"/>
  <c r="U90" i="6"/>
  <c r="U83" i="6"/>
  <c r="U59" i="6"/>
  <c r="U82" i="6"/>
  <c r="U36" i="6"/>
  <c r="U111" i="7"/>
  <c r="U70" i="7"/>
  <c r="U80" i="7"/>
  <c r="U33" i="7"/>
  <c r="U77" i="7"/>
  <c r="U89" i="7"/>
  <c r="U146" i="7"/>
  <c r="U32" i="7"/>
  <c r="U74" i="7"/>
  <c r="U104" i="7"/>
  <c r="U149" i="7"/>
  <c r="U69" i="7"/>
  <c r="U16" i="7"/>
  <c r="U114" i="7"/>
  <c r="U14" i="7"/>
  <c r="U12" i="6"/>
  <c r="U64" i="6"/>
  <c r="U61" i="6"/>
  <c r="U131" i="7"/>
  <c r="U60" i="6"/>
  <c r="U88" i="7"/>
  <c r="U43" i="7"/>
  <c r="U81" i="7"/>
  <c r="U11" i="7"/>
  <c r="U9" i="7"/>
  <c r="U39" i="7"/>
  <c r="U67" i="6"/>
  <c r="U44" i="6"/>
  <c r="U35" i="6"/>
  <c r="U18" i="6"/>
  <c r="U52" i="6"/>
  <c r="U32" i="6"/>
  <c r="S123" i="7" l="1"/>
  <c r="V150" i="7" l="1"/>
  <c r="S150" i="7"/>
  <c r="O150" i="7"/>
  <c r="V123" i="7"/>
  <c r="O123" i="7"/>
  <c r="V122" i="6"/>
  <c r="S122" i="6"/>
  <c r="O122" i="6"/>
  <c r="T150" i="7" l="1"/>
  <c r="AI150" i="7" s="1"/>
  <c r="T123" i="7"/>
  <c r="AI123" i="7" s="1"/>
  <c r="T122" i="6"/>
  <c r="AJ122" i="6" s="1"/>
  <c r="V159" i="7"/>
  <c r="S159" i="7"/>
  <c r="O159" i="7"/>
  <c r="V158" i="7"/>
  <c r="S158" i="7"/>
  <c r="O158" i="7"/>
  <c r="V160" i="7"/>
  <c r="S160" i="7"/>
  <c r="O160" i="7"/>
  <c r="V155" i="7"/>
  <c r="S155" i="7"/>
  <c r="O155" i="7"/>
  <c r="V154" i="7"/>
  <c r="S154" i="7"/>
  <c r="O154" i="7"/>
  <c r="V147" i="7"/>
  <c r="S147" i="7"/>
  <c r="O147" i="7"/>
  <c r="V144" i="7"/>
  <c r="S144" i="7"/>
  <c r="O144" i="7"/>
  <c r="V136" i="7"/>
  <c r="S136" i="7"/>
  <c r="O136" i="7"/>
  <c r="V130" i="7"/>
  <c r="S130" i="7"/>
  <c r="O130" i="7"/>
  <c r="V129" i="7"/>
  <c r="S129" i="7"/>
  <c r="O129" i="7"/>
  <c r="V128" i="7"/>
  <c r="S128" i="7"/>
  <c r="O128" i="7"/>
  <c r="V115" i="7"/>
  <c r="S115" i="7"/>
  <c r="O115" i="7"/>
  <c r="V113" i="7"/>
  <c r="S113" i="7"/>
  <c r="O113" i="7"/>
  <c r="V109" i="7"/>
  <c r="S109" i="7"/>
  <c r="O109" i="7"/>
  <c r="V101" i="7"/>
  <c r="S101" i="7"/>
  <c r="O101" i="7"/>
  <c r="V103" i="7"/>
  <c r="S103" i="7"/>
  <c r="O103" i="7"/>
  <c r="V98" i="7"/>
  <c r="S98" i="7"/>
  <c r="O98" i="7"/>
  <c r="V99" i="7"/>
  <c r="S99" i="7"/>
  <c r="O99" i="7"/>
  <c r="V73" i="7"/>
  <c r="S73" i="7"/>
  <c r="O73" i="7"/>
  <c r="V68" i="7"/>
  <c r="S68" i="7"/>
  <c r="O68" i="7"/>
  <c r="V67" i="7"/>
  <c r="S67" i="7"/>
  <c r="O67" i="7"/>
  <c r="V61" i="7"/>
  <c r="S61" i="7"/>
  <c r="O61" i="7"/>
  <c r="V60" i="7"/>
  <c r="S60" i="7"/>
  <c r="O60" i="7"/>
  <c r="V42" i="7"/>
  <c r="S42" i="7"/>
  <c r="O42" i="7"/>
  <c r="V24" i="7"/>
  <c r="S24" i="7"/>
  <c r="O24" i="7"/>
  <c r="V22" i="7"/>
  <c r="S22" i="7"/>
  <c r="O22" i="7"/>
  <c r="V23" i="7"/>
  <c r="S23" i="7"/>
  <c r="O23" i="7"/>
  <c r="V20" i="7"/>
  <c r="S20" i="7"/>
  <c r="O20" i="7"/>
  <c r="V76" i="6"/>
  <c r="S76" i="6"/>
  <c r="O76" i="6"/>
  <c r="V165" i="6"/>
  <c r="S165" i="6"/>
  <c r="O165" i="6"/>
  <c r="V157" i="6"/>
  <c r="S157" i="6"/>
  <c r="O157" i="6"/>
  <c r="V151" i="6"/>
  <c r="S151" i="6"/>
  <c r="O151" i="6"/>
  <c r="V150" i="6"/>
  <c r="S150" i="6"/>
  <c r="O150" i="6"/>
  <c r="V146" i="6"/>
  <c r="S146" i="6"/>
  <c r="O146" i="6"/>
  <c r="V144" i="6"/>
  <c r="S144" i="6"/>
  <c r="O144" i="6"/>
  <c r="V143" i="6"/>
  <c r="S143" i="6"/>
  <c r="O143" i="6"/>
  <c r="V152" i="6"/>
  <c r="S152" i="6"/>
  <c r="O152" i="6"/>
  <c r="V139" i="6"/>
  <c r="S139" i="6"/>
  <c r="O139" i="6"/>
  <c r="V135" i="6"/>
  <c r="S135" i="6"/>
  <c r="O135" i="6"/>
  <c r="V133" i="6"/>
  <c r="S133" i="6"/>
  <c r="O133" i="6"/>
  <c r="V132" i="6"/>
  <c r="S132" i="6"/>
  <c r="O132" i="6"/>
  <c r="V131" i="6"/>
  <c r="S131" i="6"/>
  <c r="O131" i="6"/>
  <c r="V140" i="6"/>
  <c r="S140" i="6"/>
  <c r="O140" i="6"/>
  <c r="V103" i="6"/>
  <c r="S103" i="6"/>
  <c r="O103" i="6"/>
  <c r="V112" i="6"/>
  <c r="S112" i="6"/>
  <c r="O112" i="6"/>
  <c r="V110" i="6"/>
  <c r="S110" i="6"/>
  <c r="O110" i="6"/>
  <c r="V107" i="6"/>
  <c r="S107" i="6"/>
  <c r="O107" i="6"/>
  <c r="V101" i="6"/>
  <c r="S101" i="6"/>
  <c r="O101" i="6"/>
  <c r="V117" i="6"/>
  <c r="S117" i="6"/>
  <c r="O117" i="6"/>
  <c r="V81" i="6"/>
  <c r="S81" i="6"/>
  <c r="O81" i="6"/>
  <c r="V96" i="6"/>
  <c r="S96" i="6"/>
  <c r="O96" i="6"/>
  <c r="V95" i="6"/>
  <c r="S95" i="6"/>
  <c r="O95" i="6"/>
  <c r="V94" i="6"/>
  <c r="S94" i="6"/>
  <c r="O94" i="6"/>
  <c r="V93" i="6"/>
  <c r="S93" i="6"/>
  <c r="O93" i="6"/>
  <c r="V92" i="6"/>
  <c r="S92" i="6"/>
  <c r="O92" i="6"/>
  <c r="V75" i="6"/>
  <c r="S75" i="6"/>
  <c r="O75" i="6"/>
  <c r="V58" i="6"/>
  <c r="S58" i="6"/>
  <c r="O58" i="6"/>
  <c r="V54" i="6"/>
  <c r="S54" i="6"/>
  <c r="O54" i="6"/>
  <c r="V53" i="6"/>
  <c r="S53" i="6"/>
  <c r="O53" i="6"/>
  <c r="V41" i="6"/>
  <c r="S41" i="6"/>
  <c r="O41" i="6"/>
  <c r="V37" i="6"/>
  <c r="S37" i="6"/>
  <c r="O37" i="6"/>
  <c r="V34" i="6"/>
  <c r="S34" i="6"/>
  <c r="O34" i="6"/>
  <c r="V24" i="6"/>
  <c r="S24" i="6"/>
  <c r="O24" i="6"/>
  <c r="V21" i="6"/>
  <c r="S21" i="6"/>
  <c r="O21" i="6"/>
  <c r="V20" i="6"/>
  <c r="S20" i="6"/>
  <c r="O20" i="6"/>
  <c r="V16" i="6"/>
  <c r="S16" i="6"/>
  <c r="O16" i="6"/>
  <c r="V15" i="6"/>
  <c r="S15" i="6"/>
  <c r="O15" i="6"/>
  <c r="T144" i="6" l="1"/>
  <c r="W150" i="7"/>
  <c r="T158" i="7"/>
  <c r="AG158" i="7" s="1"/>
  <c r="W122" i="6"/>
  <c r="AK122" i="6"/>
  <c r="AI122" i="6"/>
  <c r="T154" i="7"/>
  <c r="AH154" i="7" s="1"/>
  <c r="T160" i="7"/>
  <c r="AI160" i="7" s="1"/>
  <c r="AJ150" i="7"/>
  <c r="W123" i="7"/>
  <c r="AH150" i="7"/>
  <c r="AF123" i="7"/>
  <c r="AC123" i="7"/>
  <c r="AH123" i="7"/>
  <c r="AD150" i="7"/>
  <c r="AF150" i="7"/>
  <c r="AG150" i="7"/>
  <c r="AE150" i="7"/>
  <c r="AB150" i="7"/>
  <c r="AC150" i="7"/>
  <c r="AD122" i="6"/>
  <c r="AB123" i="7"/>
  <c r="AG123" i="7"/>
  <c r="AE123" i="7"/>
  <c r="AJ123" i="7"/>
  <c r="AD123" i="7"/>
  <c r="AC122" i="6"/>
  <c r="AH122" i="6"/>
  <c r="AF122" i="6"/>
  <c r="AG122" i="6"/>
  <c r="AE122" i="6"/>
  <c r="T76" i="6"/>
  <c r="AF76" i="6" s="1"/>
  <c r="T101" i="6"/>
  <c r="T150" i="6"/>
  <c r="AH150" i="6" s="1"/>
  <c r="T159" i="7"/>
  <c r="AI159" i="7" s="1"/>
  <c r="AG154" i="7"/>
  <c r="AJ158" i="7"/>
  <c r="AC158" i="7"/>
  <c r="T147" i="7"/>
  <c r="AG147" i="7" s="1"/>
  <c r="T155" i="7"/>
  <c r="AI155" i="7" s="1"/>
  <c r="T129" i="7"/>
  <c r="AB129" i="7" s="1"/>
  <c r="T144" i="7"/>
  <c r="AI144" i="7" s="1"/>
  <c r="T136" i="7"/>
  <c r="W136" i="7" s="1"/>
  <c r="T101" i="7"/>
  <c r="AE101" i="7" s="1"/>
  <c r="T109" i="7"/>
  <c r="AI109" i="7" s="1"/>
  <c r="T128" i="7"/>
  <c r="AG128" i="7" s="1"/>
  <c r="T115" i="7"/>
  <c r="AG115" i="7" s="1"/>
  <c r="T130" i="7"/>
  <c r="AI130" i="7" s="1"/>
  <c r="T113" i="7"/>
  <c r="AG113" i="7" s="1"/>
  <c r="T103" i="7"/>
  <c r="AI103" i="7" s="1"/>
  <c r="T98" i="7"/>
  <c r="W98" i="7" s="1"/>
  <c r="T99" i="7"/>
  <c r="AG99" i="7" s="1"/>
  <c r="T60" i="7"/>
  <c r="AG60" i="7" s="1"/>
  <c r="T67" i="7"/>
  <c r="AE67" i="7" s="1"/>
  <c r="T68" i="7"/>
  <c r="AG68" i="7" s="1"/>
  <c r="T73" i="7"/>
  <c r="AI73" i="7" s="1"/>
  <c r="T61" i="7"/>
  <c r="AI61" i="7" s="1"/>
  <c r="T42" i="7"/>
  <c r="AI42" i="7" s="1"/>
  <c r="T23" i="7"/>
  <c r="AI23" i="7" s="1"/>
  <c r="T20" i="7"/>
  <c r="AI20" i="7" s="1"/>
  <c r="T22" i="7"/>
  <c r="AD22" i="7" s="1"/>
  <c r="T24" i="7"/>
  <c r="AI24" i="7" s="1"/>
  <c r="T165" i="6"/>
  <c r="AJ165" i="6" s="1"/>
  <c r="T157" i="6"/>
  <c r="AJ157" i="6" s="1"/>
  <c r="T112" i="6"/>
  <c r="AH112" i="6" s="1"/>
  <c r="T152" i="6"/>
  <c r="AI152" i="6" s="1"/>
  <c r="T135" i="6"/>
  <c r="AH135" i="6" s="1"/>
  <c r="T132" i="6"/>
  <c r="W132" i="6" s="1"/>
  <c r="T146" i="6"/>
  <c r="AH146" i="6" s="1"/>
  <c r="T143" i="6"/>
  <c r="AH143" i="6" s="1"/>
  <c r="T151" i="6"/>
  <c r="AI151" i="6" s="1"/>
  <c r="AJ144" i="6"/>
  <c r="AF144" i="6"/>
  <c r="W144" i="6"/>
  <c r="AI144" i="6"/>
  <c r="AE144" i="6"/>
  <c r="AH144" i="6"/>
  <c r="AD144" i="6"/>
  <c r="AK144" i="6"/>
  <c r="AG144" i="6"/>
  <c r="AC144" i="6"/>
  <c r="AE143" i="6"/>
  <c r="AE150" i="6"/>
  <c r="AI150" i="6"/>
  <c r="AJ146" i="6"/>
  <c r="W150" i="6"/>
  <c r="AF150" i="6"/>
  <c r="AJ150" i="6"/>
  <c r="AC150" i="6"/>
  <c r="AG150" i="6"/>
  <c r="AK150" i="6"/>
  <c r="AD146" i="6"/>
  <c r="AD150" i="6"/>
  <c r="W152" i="6"/>
  <c r="AD152" i="6"/>
  <c r="T96" i="6"/>
  <c r="AF96" i="6" s="1"/>
  <c r="T133" i="6"/>
  <c r="AH133" i="6" s="1"/>
  <c r="T131" i="6"/>
  <c r="AH131" i="6" s="1"/>
  <c r="T139" i="6"/>
  <c r="W139" i="6" s="1"/>
  <c r="T140" i="6"/>
  <c r="W140" i="6" s="1"/>
  <c r="AC132" i="6"/>
  <c r="AC131" i="6"/>
  <c r="AF140" i="6"/>
  <c r="T95" i="6"/>
  <c r="AH95" i="6" s="1"/>
  <c r="AJ101" i="6"/>
  <c r="T117" i="6"/>
  <c r="AI117" i="6" s="1"/>
  <c r="T103" i="6"/>
  <c r="AF103" i="6" s="1"/>
  <c r="T107" i="6"/>
  <c r="AH107" i="6" s="1"/>
  <c r="T110" i="6"/>
  <c r="AJ110" i="6" s="1"/>
  <c r="AC101" i="6"/>
  <c r="AG101" i="6"/>
  <c r="AK101" i="6"/>
  <c r="AD101" i="6"/>
  <c r="AH101" i="6"/>
  <c r="AE101" i="6"/>
  <c r="AI101" i="6"/>
  <c r="AC112" i="6"/>
  <c r="W101" i="6"/>
  <c r="AF101" i="6"/>
  <c r="T92" i="6"/>
  <c r="AH92" i="6" s="1"/>
  <c r="T94" i="6"/>
  <c r="AF94" i="6" s="1"/>
  <c r="T93" i="6"/>
  <c r="AH93" i="6" s="1"/>
  <c r="T81" i="6"/>
  <c r="AI81" i="6" s="1"/>
  <c r="AE95" i="6"/>
  <c r="AK95" i="6"/>
  <c r="T37" i="6"/>
  <c r="AI37" i="6" s="1"/>
  <c r="T75" i="6"/>
  <c r="AJ75" i="6" s="1"/>
  <c r="T34" i="6"/>
  <c r="AH34" i="6" s="1"/>
  <c r="T20" i="6"/>
  <c r="AK20" i="6" s="1"/>
  <c r="T24" i="6"/>
  <c r="AI24" i="6" s="1"/>
  <c r="T53" i="6"/>
  <c r="AI53" i="6" s="1"/>
  <c r="T58" i="6"/>
  <c r="AJ58" i="6" s="1"/>
  <c r="T54" i="6"/>
  <c r="AJ54" i="6" s="1"/>
  <c r="T41" i="6"/>
  <c r="AJ41" i="6" s="1"/>
  <c r="T21" i="6"/>
  <c r="AJ21" i="6" s="1"/>
  <c r="T15" i="6"/>
  <c r="AH15" i="6" s="1"/>
  <c r="T16" i="6"/>
  <c r="AJ16" i="6" s="1"/>
  <c r="V149" i="6"/>
  <c r="S149" i="6"/>
  <c r="O149" i="6"/>
  <c r="V84" i="6"/>
  <c r="S84" i="6"/>
  <c r="O84" i="6"/>
  <c r="AF95" i="6" l="1"/>
  <c r="AE93" i="6"/>
  <c r="AK93" i="6"/>
  <c r="W93" i="6"/>
  <c r="AK96" i="6"/>
  <c r="AG133" i="6"/>
  <c r="AD143" i="6"/>
  <c r="AG143" i="6"/>
  <c r="AG93" i="6"/>
  <c r="W96" i="6"/>
  <c r="AD93" i="6"/>
  <c r="AC93" i="6"/>
  <c r="AI93" i="6"/>
  <c r="AC140" i="6"/>
  <c r="AG95" i="6"/>
  <c r="W95" i="6"/>
  <c r="AJ143" i="6"/>
  <c r="AD95" i="6"/>
  <c r="AC95" i="6"/>
  <c r="AK92" i="6"/>
  <c r="AJ95" i="6"/>
  <c r="AI95" i="6"/>
  <c r="AK135" i="6"/>
  <c r="AJ160" i="7"/>
  <c r="AH160" i="7"/>
  <c r="AD96" i="6"/>
  <c r="AJ96" i="6"/>
  <c r="AC152" i="6"/>
  <c r="AK146" i="6"/>
  <c r="AF146" i="6"/>
  <c r="AH140" i="6"/>
  <c r="AH132" i="6"/>
  <c r="AG152" i="6"/>
  <c r="AE152" i="6"/>
  <c r="AJ152" i="6"/>
  <c r="AG146" i="6"/>
  <c r="W146" i="6"/>
  <c r="AI146" i="6"/>
  <c r="W154" i="7"/>
  <c r="AB160" i="7"/>
  <c r="AG160" i="7"/>
  <c r="AE160" i="7"/>
  <c r="AE158" i="7"/>
  <c r="AG140" i="6"/>
  <c r="AJ140" i="6"/>
  <c r="AH152" i="6"/>
  <c r="AF152" i="6"/>
  <c r="AJ76" i="6"/>
  <c r="AC160" i="7"/>
  <c r="W160" i="7"/>
  <c r="W92" i="6"/>
  <c r="AE96" i="6"/>
  <c r="AI112" i="6"/>
  <c r="AG96" i="6"/>
  <c r="AI96" i="6"/>
  <c r="AF112" i="6"/>
  <c r="AE140" i="6"/>
  <c r="AF132" i="6"/>
  <c r="AK152" i="6"/>
  <c r="AC146" i="6"/>
  <c r="AD154" i="7"/>
  <c r="AF160" i="7"/>
  <c r="AD160" i="7"/>
  <c r="W158" i="7"/>
  <c r="AF20" i="7"/>
  <c r="AC147" i="7"/>
  <c r="AE147" i="7"/>
  <c r="AF158" i="7"/>
  <c r="AI158" i="7"/>
  <c r="AH158" i="7"/>
  <c r="AD158" i="7"/>
  <c r="AB158" i="7"/>
  <c r="AC128" i="7"/>
  <c r="AC113" i="7"/>
  <c r="AC67" i="7"/>
  <c r="AE113" i="7"/>
  <c r="AE115" i="7"/>
  <c r="AD101" i="7"/>
  <c r="AI67" i="7"/>
  <c r="AC109" i="7"/>
  <c r="AB159" i="7"/>
  <c r="AG109" i="7"/>
  <c r="AF147" i="7"/>
  <c r="AJ159" i="7"/>
  <c r="AG159" i="7"/>
  <c r="AN150" i="7"/>
  <c r="AH101" i="7"/>
  <c r="W159" i="7"/>
  <c r="AK150" i="7"/>
  <c r="AM150" i="7" s="1"/>
  <c r="AJ109" i="7"/>
  <c r="AC101" i="7"/>
  <c r="AE129" i="7"/>
  <c r="AB144" i="7"/>
  <c r="AC155" i="7"/>
  <c r="AH159" i="7"/>
  <c r="AJ144" i="7"/>
  <c r="AH155" i="7"/>
  <c r="AF136" i="7"/>
  <c r="W144" i="7"/>
  <c r="W60" i="7"/>
  <c r="AF101" i="7"/>
  <c r="AI101" i="7"/>
  <c r="AF113" i="7"/>
  <c r="AH113" i="7"/>
  <c r="AE109" i="7"/>
  <c r="AD128" i="7"/>
  <c r="AH144" i="7"/>
  <c r="AJ155" i="7"/>
  <c r="AE155" i="7"/>
  <c r="AJ113" i="7"/>
  <c r="AH115" i="7"/>
  <c r="AG144" i="7"/>
  <c r="AB155" i="7"/>
  <c r="W155" i="7"/>
  <c r="AJ101" i="7"/>
  <c r="W101" i="7"/>
  <c r="AB115" i="7"/>
  <c r="W115" i="7"/>
  <c r="AD113" i="7"/>
  <c r="W109" i="7"/>
  <c r="AJ129" i="7"/>
  <c r="W129" i="7"/>
  <c r="AG129" i="7"/>
  <c r="AJ136" i="7"/>
  <c r="AJ154" i="7"/>
  <c r="AB147" i="7"/>
  <c r="AI147" i="7"/>
  <c r="AH147" i="7"/>
  <c r="AC159" i="7"/>
  <c r="AE159" i="7"/>
  <c r="AF129" i="7"/>
  <c r="AH129" i="7"/>
  <c r="AE136" i="7"/>
  <c r="AC154" i="7"/>
  <c r="AF154" i="7"/>
  <c r="AI154" i="7"/>
  <c r="AJ60" i="7"/>
  <c r="AI129" i="7"/>
  <c r="AD129" i="7"/>
  <c r="AB154" i="7"/>
  <c r="AE154" i="7"/>
  <c r="AJ93" i="6"/>
  <c r="W94" i="6"/>
  <c r="AJ131" i="6"/>
  <c r="AE146" i="6"/>
  <c r="AF93" i="6"/>
  <c r="W131" i="6"/>
  <c r="AK131" i="6"/>
  <c r="AI133" i="6"/>
  <c r="AJ133" i="6"/>
  <c r="AI131" i="6"/>
  <c r="AI92" i="6"/>
  <c r="W112" i="6"/>
  <c r="AE112" i="6"/>
  <c r="AE103" i="6"/>
  <c r="AG132" i="6"/>
  <c r="AE132" i="6"/>
  <c r="AJ132" i="6"/>
  <c r="AD92" i="6"/>
  <c r="AG92" i="6"/>
  <c r="AJ92" i="6"/>
  <c r="AE92" i="6"/>
  <c r="AC96" i="6"/>
  <c r="AH96" i="6"/>
  <c r="W117" i="6"/>
  <c r="AK112" i="6"/>
  <c r="AK140" i="6"/>
  <c r="AI140" i="6"/>
  <c r="AD131" i="6"/>
  <c r="AG131" i="6"/>
  <c r="AF131" i="6"/>
  <c r="AE131" i="6"/>
  <c r="AK132" i="6"/>
  <c r="AI132" i="6"/>
  <c r="AC92" i="6"/>
  <c r="AF92" i="6"/>
  <c r="AD112" i="6"/>
  <c r="AG112" i="6"/>
  <c r="AJ112" i="6"/>
  <c r="AD140" i="6"/>
  <c r="AD132" i="6"/>
  <c r="W103" i="6"/>
  <c r="AG76" i="6"/>
  <c r="AE76" i="6"/>
  <c r="AJ20" i="6"/>
  <c r="AE20" i="6"/>
  <c r="AD135" i="6"/>
  <c r="AG135" i="6"/>
  <c r="AC133" i="6"/>
  <c r="AJ135" i="6"/>
  <c r="AF133" i="6"/>
  <c r="AE133" i="6"/>
  <c r="AC143" i="6"/>
  <c r="AF143" i="6"/>
  <c r="AK76" i="6"/>
  <c r="AI76" i="6"/>
  <c r="AG94" i="6"/>
  <c r="AD133" i="6"/>
  <c r="AC135" i="6"/>
  <c r="AF135" i="6"/>
  <c r="W133" i="6"/>
  <c r="AI135" i="6"/>
  <c r="W143" i="6"/>
  <c r="AD76" i="6"/>
  <c r="W76" i="6"/>
  <c r="AO122" i="6"/>
  <c r="AK94" i="6"/>
  <c r="AD117" i="6"/>
  <c r="AK133" i="6"/>
  <c r="AO133" i="6" s="1"/>
  <c r="W135" i="6"/>
  <c r="AE135" i="6"/>
  <c r="AE139" i="6"/>
  <c r="AK143" i="6"/>
  <c r="AI143" i="6"/>
  <c r="AC76" i="6"/>
  <c r="AH76" i="6"/>
  <c r="AD136" i="7"/>
  <c r="AE60" i="7"/>
  <c r="AB101" i="7"/>
  <c r="AG101" i="7"/>
  <c r="AJ115" i="7"/>
  <c r="AI115" i="7"/>
  <c r="W113" i="7"/>
  <c r="AB109" i="7"/>
  <c r="AH109" i="7"/>
  <c r="AC129" i="7"/>
  <c r="W128" i="7"/>
  <c r="AJ130" i="7"/>
  <c r="AB136" i="7"/>
  <c r="AH136" i="7"/>
  <c r="AG155" i="7"/>
  <c r="AF159" i="7"/>
  <c r="AD159" i="7"/>
  <c r="AC117" i="6"/>
  <c r="AC115" i="7"/>
  <c r="AF115" i="7"/>
  <c r="AB113" i="7"/>
  <c r="AI113" i="7"/>
  <c r="AD115" i="7"/>
  <c r="AF109" i="7"/>
  <c r="AD109" i="7"/>
  <c r="W130" i="7"/>
  <c r="AG136" i="7"/>
  <c r="AI136" i="7"/>
  <c r="AC144" i="7"/>
  <c r="AE144" i="7"/>
  <c r="AJ147" i="7"/>
  <c r="W147" i="7"/>
  <c r="AD147" i="7"/>
  <c r="AF155" i="7"/>
  <c r="AD155" i="7"/>
  <c r="AE130" i="7"/>
  <c r="AN123" i="7"/>
  <c r="AK123" i="7"/>
  <c r="AM123" i="7" s="1"/>
  <c r="AL122" i="6"/>
  <c r="AN122" i="6" s="1"/>
  <c r="AH53" i="6"/>
  <c r="AI94" i="6"/>
  <c r="AE117" i="6"/>
  <c r="AD103" i="6"/>
  <c r="AC130" i="7"/>
  <c r="AC136" i="7"/>
  <c r="AG130" i="7"/>
  <c r="AF144" i="7"/>
  <c r="AD144" i="7"/>
  <c r="AJ128" i="7"/>
  <c r="AB128" i="7"/>
  <c r="AI128" i="7"/>
  <c r="AE128" i="7"/>
  <c r="AH128" i="7"/>
  <c r="AF128" i="7"/>
  <c r="AB130" i="7"/>
  <c r="AH130" i="7"/>
  <c r="AB68" i="7"/>
  <c r="AI68" i="7"/>
  <c r="AB22" i="7"/>
  <c r="AB60" i="7"/>
  <c r="AJ68" i="7"/>
  <c r="AJ73" i="7"/>
  <c r="AH73" i="7"/>
  <c r="AF22" i="7"/>
  <c r="AB20" i="7"/>
  <c r="AC20" i="7"/>
  <c r="AF60" i="7"/>
  <c r="AH60" i="7"/>
  <c r="AF68" i="7"/>
  <c r="AB73" i="7"/>
  <c r="W73" i="7"/>
  <c r="AG73" i="7"/>
  <c r="AF130" i="7"/>
  <c r="AD130" i="7"/>
  <c r="AC22" i="7"/>
  <c r="W22" i="7"/>
  <c r="AC60" i="7"/>
  <c r="AI60" i="7"/>
  <c r="AD60" i="7"/>
  <c r="AC68" i="7"/>
  <c r="AE68" i="7"/>
  <c r="AH68" i="7"/>
  <c r="AC73" i="7"/>
  <c r="AE73" i="7"/>
  <c r="W68" i="7"/>
  <c r="AD68" i="7"/>
  <c r="AE24" i="7"/>
  <c r="AC23" i="7"/>
  <c r="W23" i="7"/>
  <c r="AF73" i="7"/>
  <c r="AD73" i="7"/>
  <c r="AJ99" i="7"/>
  <c r="AJ103" i="7"/>
  <c r="AJ98" i="7"/>
  <c r="AI22" i="7"/>
  <c r="AG22" i="7"/>
  <c r="AB67" i="7"/>
  <c r="AD67" i="7"/>
  <c r="AF67" i="7"/>
  <c r="AH67" i="7"/>
  <c r="AJ67" i="7"/>
  <c r="W67" i="7"/>
  <c r="AG98" i="7"/>
  <c r="AC103" i="7"/>
  <c r="AH98" i="7"/>
  <c r="AH103" i="7"/>
  <c r="AB98" i="7"/>
  <c r="AE98" i="7"/>
  <c r="W103" i="7"/>
  <c r="AB103" i="7"/>
  <c r="AG103" i="7"/>
  <c r="AE103" i="7"/>
  <c r="AF103" i="7"/>
  <c r="AD103" i="7"/>
  <c r="AF98" i="7"/>
  <c r="AD98" i="7"/>
  <c r="AI98" i="7"/>
  <c r="AC98" i="7"/>
  <c r="W99" i="7"/>
  <c r="AE99" i="7"/>
  <c r="AF99" i="7"/>
  <c r="AD99" i="7"/>
  <c r="AI99" i="7"/>
  <c r="AC99" i="7"/>
  <c r="AH99" i="7"/>
  <c r="AB99" i="7"/>
  <c r="W61" i="7"/>
  <c r="AE20" i="7"/>
  <c r="AH20" i="7"/>
  <c r="W20" i="7"/>
  <c r="AD20" i="7"/>
  <c r="AE22" i="7"/>
  <c r="AJ22" i="7"/>
  <c r="AG67" i="7"/>
  <c r="AD24" i="7"/>
  <c r="AG24" i="7"/>
  <c r="AJ24" i="7"/>
  <c r="AF61" i="7"/>
  <c r="AD23" i="7"/>
  <c r="AG23" i="7"/>
  <c r="AJ23" i="7"/>
  <c r="AC61" i="7"/>
  <c r="AG61" i="7"/>
  <c r="W24" i="7"/>
  <c r="AJ20" i="7"/>
  <c r="AH23" i="7"/>
  <c r="AB24" i="7"/>
  <c r="AG20" i="7"/>
  <c r="AF23" i="7"/>
  <c r="AB61" i="7"/>
  <c r="AD61" i="7"/>
  <c r="AE23" i="7"/>
  <c r="AF24" i="7"/>
  <c r="AH24" i="7"/>
  <c r="AC24" i="7"/>
  <c r="AB23" i="7"/>
  <c r="AH22" i="7"/>
  <c r="AJ61" i="7"/>
  <c r="AH61" i="7"/>
  <c r="AE61" i="7"/>
  <c r="AJ42" i="7"/>
  <c r="AC42" i="7"/>
  <c r="W42" i="7"/>
  <c r="AH42" i="7"/>
  <c r="AB42" i="7"/>
  <c r="AG42" i="7"/>
  <c r="AE42" i="7"/>
  <c r="AF42" i="7"/>
  <c r="AD42" i="7"/>
  <c r="W157" i="6"/>
  <c r="AH157" i="6"/>
  <c r="AG151" i="6"/>
  <c r="AJ24" i="6"/>
  <c r="AI165" i="6"/>
  <c r="AD165" i="6"/>
  <c r="W165" i="6"/>
  <c r="AK165" i="6"/>
  <c r="AC165" i="6"/>
  <c r="AH165" i="6"/>
  <c r="AF165" i="6"/>
  <c r="AG165" i="6"/>
  <c r="AE165" i="6"/>
  <c r="AI157" i="6"/>
  <c r="AD157" i="6"/>
  <c r="AE157" i="6"/>
  <c r="AK157" i="6"/>
  <c r="AF157" i="6"/>
  <c r="AG157" i="6"/>
  <c r="AC157" i="6"/>
  <c r="AF34" i="6"/>
  <c r="AK53" i="6"/>
  <c r="AK103" i="6"/>
  <c r="AJ103" i="6"/>
  <c r="AF139" i="6"/>
  <c r="AH151" i="6"/>
  <c r="AE37" i="6"/>
  <c r="W151" i="6"/>
  <c r="AD24" i="6"/>
  <c r="W37" i="6"/>
  <c r="AK75" i="6"/>
  <c r="AG81" i="6"/>
  <c r="AC110" i="6"/>
  <c r="AC139" i="6"/>
  <c r="AE34" i="6"/>
  <c r="AJ53" i="6"/>
  <c r="AF24" i="6"/>
  <c r="AE94" i="6"/>
  <c r="AG117" i="6"/>
  <c r="AF117" i="6"/>
  <c r="AG103" i="6"/>
  <c r="AI103" i="6"/>
  <c r="AH139" i="6"/>
  <c r="AF151" i="6"/>
  <c r="AI75" i="6"/>
  <c r="AE107" i="6"/>
  <c r="AG107" i="6"/>
  <c r="AC24" i="6"/>
  <c r="AD94" i="6"/>
  <c r="AJ94" i="6"/>
  <c r="AH117" i="6"/>
  <c r="AJ117" i="6"/>
  <c r="AC103" i="6"/>
  <c r="AH103" i="6"/>
  <c r="AG139" i="6"/>
  <c r="AJ139" i="6"/>
  <c r="AD151" i="6"/>
  <c r="AJ151" i="6"/>
  <c r="AD34" i="6"/>
  <c r="AG37" i="6"/>
  <c r="AJ37" i="6"/>
  <c r="AE53" i="6"/>
  <c r="AE81" i="6"/>
  <c r="AH110" i="6"/>
  <c r="AK139" i="6"/>
  <c r="AI139" i="6"/>
  <c r="AC151" i="6"/>
  <c r="AE151" i="6"/>
  <c r="AH24" i="6"/>
  <c r="AG34" i="6"/>
  <c r="AD37" i="6"/>
  <c r="AD53" i="6"/>
  <c r="AJ81" i="6"/>
  <c r="AK117" i="6"/>
  <c r="AF110" i="6"/>
  <c r="W107" i="6"/>
  <c r="AD139" i="6"/>
  <c r="AK151" i="6"/>
  <c r="AJ34" i="6"/>
  <c r="AC37" i="6"/>
  <c r="AH37" i="6"/>
  <c r="AF37" i="6"/>
  <c r="AL150" i="6"/>
  <c r="AN150" i="6" s="1"/>
  <c r="AO150" i="6"/>
  <c r="AO144" i="6"/>
  <c r="AL144" i="6"/>
  <c r="AN144" i="6" s="1"/>
  <c r="AE24" i="6"/>
  <c r="AK34" i="6"/>
  <c r="W34" i="6"/>
  <c r="AK37" i="6"/>
  <c r="AG24" i="6"/>
  <c r="W24" i="6"/>
  <c r="AK24" i="6"/>
  <c r="AJ107" i="6"/>
  <c r="AD81" i="6"/>
  <c r="W81" i="6"/>
  <c r="AK110" i="6"/>
  <c r="AI110" i="6"/>
  <c r="AD20" i="6"/>
  <c r="W20" i="6"/>
  <c r="AC20" i="6"/>
  <c r="AG20" i="6"/>
  <c r="AI20" i="6"/>
  <c r="AH20" i="6"/>
  <c r="AD75" i="6"/>
  <c r="AC81" i="6"/>
  <c r="AH81" i="6"/>
  <c r="AF81" i="6"/>
  <c r="AD110" i="6"/>
  <c r="W110" i="6"/>
  <c r="AF20" i="6"/>
  <c r="W75" i="6"/>
  <c r="AC94" i="6"/>
  <c r="AH94" i="6"/>
  <c r="AK81" i="6"/>
  <c r="AG110" i="6"/>
  <c r="AE110" i="6"/>
  <c r="AK107" i="6"/>
  <c r="AF107" i="6"/>
  <c r="AD107" i="6"/>
  <c r="AI107" i="6"/>
  <c r="AC107" i="6"/>
  <c r="AO101" i="6"/>
  <c r="AL101" i="6"/>
  <c r="AN101" i="6" s="1"/>
  <c r="AF53" i="6"/>
  <c r="AK54" i="6"/>
  <c r="AC34" i="6"/>
  <c r="AI34" i="6"/>
  <c r="AG53" i="6"/>
  <c r="W53" i="6"/>
  <c r="AD54" i="6"/>
  <c r="AH16" i="6"/>
  <c r="AC53" i="6"/>
  <c r="W54" i="6"/>
  <c r="AK58" i="6"/>
  <c r="W58" i="6"/>
  <c r="AD21" i="6"/>
  <c r="AC75" i="6"/>
  <c r="AH75" i="6"/>
  <c r="AF75" i="6"/>
  <c r="AG75" i="6"/>
  <c r="AE75" i="6"/>
  <c r="W41" i="6"/>
  <c r="AI41" i="6"/>
  <c r="AC15" i="6"/>
  <c r="AC16" i="6"/>
  <c r="W21" i="6"/>
  <c r="AD41" i="6"/>
  <c r="AE54" i="6"/>
  <c r="AD58" i="6"/>
  <c r="AF16" i="6"/>
  <c r="AD16" i="6"/>
  <c r="AI21" i="6"/>
  <c r="AG16" i="6"/>
  <c r="W15" i="6"/>
  <c r="AK21" i="6"/>
  <c r="AK41" i="6"/>
  <c r="AG54" i="6"/>
  <c r="AI54" i="6"/>
  <c r="AI58" i="6"/>
  <c r="AC58" i="6"/>
  <c r="AH58" i="6"/>
  <c r="AF58" i="6"/>
  <c r="AG58" i="6"/>
  <c r="AE58" i="6"/>
  <c r="AC54" i="6"/>
  <c r="AH54" i="6"/>
  <c r="AF54" i="6"/>
  <c r="AE41" i="6"/>
  <c r="AG41" i="6"/>
  <c r="AF41" i="6"/>
  <c r="AH41" i="6"/>
  <c r="AC41" i="6"/>
  <c r="AD15" i="6"/>
  <c r="AF15" i="6"/>
  <c r="AK15" i="6"/>
  <c r="AI16" i="6"/>
  <c r="AE15" i="6"/>
  <c r="AK16" i="6"/>
  <c r="W16" i="6"/>
  <c r="AC21" i="6"/>
  <c r="AH21" i="6"/>
  <c r="AF21" i="6"/>
  <c r="AG15" i="6"/>
  <c r="AG21" i="6"/>
  <c r="AE21" i="6"/>
  <c r="AE16" i="6"/>
  <c r="AI15" i="6"/>
  <c r="AJ15" i="6"/>
  <c r="T84" i="6"/>
  <c r="AH84" i="6" s="1"/>
  <c r="T149" i="6"/>
  <c r="AJ149" i="6" s="1"/>
  <c r="AL92" i="6" l="1"/>
  <c r="AN92" i="6" s="1"/>
  <c r="AO93" i="6"/>
  <c r="AO92" i="6"/>
  <c r="AO132" i="6"/>
  <c r="AL93" i="6"/>
  <c r="AN93" i="6" s="1"/>
  <c r="AO152" i="6"/>
  <c r="AL146" i="6"/>
  <c r="AN146" i="6" s="1"/>
  <c r="AL95" i="6"/>
  <c r="AN95" i="6" s="1"/>
  <c r="AO95" i="6"/>
  <c r="AL133" i="6"/>
  <c r="AN133" i="6" s="1"/>
  <c r="U133" i="6" s="1"/>
  <c r="AO24" i="6"/>
  <c r="U122" i="6"/>
  <c r="AL112" i="6"/>
  <c r="AN112" i="6" s="1"/>
  <c r="AL140" i="6"/>
  <c r="AN140" i="6" s="1"/>
  <c r="AL131" i="6"/>
  <c r="AN131" i="6" s="1"/>
  <c r="AL96" i="6"/>
  <c r="AN96" i="6" s="1"/>
  <c r="AO96" i="6"/>
  <c r="AO131" i="6"/>
  <c r="AL132" i="6"/>
  <c r="AN132" i="6" s="1"/>
  <c r="AO112" i="6"/>
  <c r="AO140" i="6"/>
  <c r="AL152" i="6"/>
  <c r="AN152" i="6" s="1"/>
  <c r="AO146" i="6"/>
  <c r="U150" i="7"/>
  <c r="AN144" i="7"/>
  <c r="AN160" i="7"/>
  <c r="AK160" i="7"/>
  <c r="AM160" i="7" s="1"/>
  <c r="AL143" i="6"/>
  <c r="AN143" i="6" s="1"/>
  <c r="AN154" i="7"/>
  <c r="AN129" i="7"/>
  <c r="AK158" i="7"/>
  <c r="AM158" i="7" s="1"/>
  <c r="AO143" i="6"/>
  <c r="AL37" i="6"/>
  <c r="AN37" i="6" s="1"/>
  <c r="AN158" i="7"/>
  <c r="AK154" i="7"/>
  <c r="AM154" i="7" s="1"/>
  <c r="U154" i="7" s="1"/>
  <c r="AN109" i="7"/>
  <c r="AK113" i="7"/>
  <c r="AM113" i="7" s="1"/>
  <c r="AK115" i="7"/>
  <c r="AM115" i="7" s="1"/>
  <c r="AK129" i="7"/>
  <c r="AM129" i="7" s="1"/>
  <c r="U129" i="7" s="1"/>
  <c r="AK109" i="7"/>
  <c r="AM109" i="7" s="1"/>
  <c r="U109" i="7" s="1"/>
  <c r="AN159" i="7"/>
  <c r="AK22" i="7"/>
  <c r="AM22" i="7" s="1"/>
  <c r="AN113" i="7"/>
  <c r="AN115" i="7"/>
  <c r="AN67" i="7"/>
  <c r="AK147" i="7"/>
  <c r="AM147" i="7" s="1"/>
  <c r="AN101" i="7"/>
  <c r="AK60" i="7"/>
  <c r="AM60" i="7" s="1"/>
  <c r="AN60" i="7"/>
  <c r="AN20" i="7"/>
  <c r="AN155" i="7"/>
  <c r="AK67" i="7"/>
  <c r="AM67" i="7" s="1"/>
  <c r="AK130" i="7"/>
  <c r="AM130" i="7" s="1"/>
  <c r="AN136" i="7"/>
  <c r="AK68" i="7"/>
  <c r="AM68" i="7" s="1"/>
  <c r="AN73" i="7"/>
  <c r="AN128" i="7"/>
  <c r="AN130" i="7"/>
  <c r="AK136" i="7"/>
  <c r="AM136" i="7" s="1"/>
  <c r="AK159" i="7"/>
  <c r="AM159" i="7" s="1"/>
  <c r="AN68" i="7"/>
  <c r="AK73" i="7"/>
  <c r="AM73" i="7" s="1"/>
  <c r="AK101" i="7"/>
  <c r="AM101" i="7" s="1"/>
  <c r="U101" i="7" s="1"/>
  <c r="AK128" i="7"/>
  <c r="AM128" i="7" s="1"/>
  <c r="AN147" i="7"/>
  <c r="AK155" i="7"/>
  <c r="AM155" i="7" s="1"/>
  <c r="U123" i="7"/>
  <c r="AO151" i="6"/>
  <c r="AO117" i="6"/>
  <c r="AO76" i="6"/>
  <c r="AL20" i="6"/>
  <c r="AN20" i="6" s="1"/>
  <c r="AL135" i="6"/>
  <c r="AN135" i="6" s="1"/>
  <c r="AL117" i="6"/>
  <c r="AN117" i="6" s="1"/>
  <c r="U117" i="6" s="1"/>
  <c r="AO135" i="6"/>
  <c r="AL76" i="6"/>
  <c r="AN76" i="6" s="1"/>
  <c r="AO53" i="6"/>
  <c r="AL53" i="6"/>
  <c r="AN53" i="6" s="1"/>
  <c r="AL24" i="6"/>
  <c r="AN24" i="6" s="1"/>
  <c r="AL139" i="6"/>
  <c r="AN139" i="6" s="1"/>
  <c r="AO54" i="6"/>
  <c r="AK20" i="7"/>
  <c r="AM20" i="7" s="1"/>
  <c r="AN23" i="7"/>
  <c r="AN22" i="7"/>
  <c r="U22" i="7" s="1"/>
  <c r="AL34" i="6"/>
  <c r="AN34" i="6" s="1"/>
  <c r="AO37" i="6"/>
  <c r="U37" i="6" s="1"/>
  <c r="AO139" i="6"/>
  <c r="AO103" i="6"/>
  <c r="AO20" i="6"/>
  <c r="AL103" i="6"/>
  <c r="AN103" i="6" s="1"/>
  <c r="AO34" i="6"/>
  <c r="AL81" i="6"/>
  <c r="AN81" i="6" s="1"/>
  <c r="U143" i="6"/>
  <c r="AL94" i="6"/>
  <c r="AN94" i="6" s="1"/>
  <c r="AO107" i="6"/>
  <c r="AO165" i="6"/>
  <c r="AO81" i="6"/>
  <c r="AO110" i="6"/>
  <c r="AK23" i="7"/>
  <c r="AM23" i="7" s="1"/>
  <c r="U23" i="7" s="1"/>
  <c r="AN24" i="7"/>
  <c r="AK98" i="7"/>
  <c r="AM98" i="7" s="1"/>
  <c r="AK144" i="7"/>
  <c r="AM144" i="7" s="1"/>
  <c r="U144" i="7" s="1"/>
  <c r="U147" i="7"/>
  <c r="AK24" i="7"/>
  <c r="AM24" i="7" s="1"/>
  <c r="AN103" i="7"/>
  <c r="AN98" i="7"/>
  <c r="AK99" i="7"/>
  <c r="AM99" i="7" s="1"/>
  <c r="AK103" i="7"/>
  <c r="AM103" i="7" s="1"/>
  <c r="AN99" i="7"/>
  <c r="AK61" i="7"/>
  <c r="AM61" i="7" s="1"/>
  <c r="AN61" i="7"/>
  <c r="AN42" i="7"/>
  <c r="AK42" i="7"/>
  <c r="AM42" i="7" s="1"/>
  <c r="AO94" i="6"/>
  <c r="AO157" i="6"/>
  <c r="AL165" i="6"/>
  <c r="AN165" i="6" s="1"/>
  <c r="AL157" i="6"/>
  <c r="AN157" i="6" s="1"/>
  <c r="U150" i="6"/>
  <c r="U152" i="6"/>
  <c r="U144" i="6"/>
  <c r="AL151" i="6"/>
  <c r="AN151" i="6" s="1"/>
  <c r="U140" i="6"/>
  <c r="AL107" i="6"/>
  <c r="AN107" i="6" s="1"/>
  <c r="AL110" i="6"/>
  <c r="AN110" i="6" s="1"/>
  <c r="U101" i="6"/>
  <c r="AO75" i="6"/>
  <c r="AL41" i="6"/>
  <c r="AN41" i="6" s="1"/>
  <c r="AL75" i="6"/>
  <c r="AN75" i="6" s="1"/>
  <c r="AI84" i="6"/>
  <c r="AO58" i="6"/>
  <c r="W84" i="6"/>
  <c r="AJ84" i="6"/>
  <c r="AG84" i="6"/>
  <c r="AD84" i="6"/>
  <c r="AK84" i="6"/>
  <c r="AE84" i="6"/>
  <c r="AO21" i="6"/>
  <c r="AF84" i="6"/>
  <c r="AC84" i="6"/>
  <c r="AL58" i="6"/>
  <c r="AN58" i="6" s="1"/>
  <c r="AL54" i="6"/>
  <c r="AN54" i="6" s="1"/>
  <c r="AO41" i="6"/>
  <c r="AO16" i="6"/>
  <c r="AL21" i="6"/>
  <c r="AN21" i="6" s="1"/>
  <c r="AO15" i="6"/>
  <c r="AL16" i="6"/>
  <c r="AN16" i="6" s="1"/>
  <c r="AL15" i="6"/>
  <c r="AN15" i="6" s="1"/>
  <c r="W149" i="6"/>
  <c r="AK149" i="6"/>
  <c r="AD149" i="6"/>
  <c r="AI149" i="6"/>
  <c r="AC149" i="6"/>
  <c r="AH149" i="6"/>
  <c r="AF149" i="6"/>
  <c r="AG149" i="6"/>
  <c r="AE149" i="6"/>
  <c r="U95" i="6" l="1"/>
  <c r="U132" i="6"/>
  <c r="U92" i="6"/>
  <c r="U146" i="6"/>
  <c r="U93" i="6"/>
  <c r="U24" i="6"/>
  <c r="U131" i="6"/>
  <c r="U112" i="6"/>
  <c r="U96" i="6"/>
  <c r="U158" i="7"/>
  <c r="U160" i="7"/>
  <c r="U128" i="7"/>
  <c r="U113" i="7"/>
  <c r="U67" i="7"/>
  <c r="U155" i="7"/>
  <c r="U115" i="7"/>
  <c r="U136" i="7"/>
  <c r="U20" i="7"/>
  <c r="U151" i="6"/>
  <c r="U130" i="7"/>
  <c r="U60" i="7"/>
  <c r="U159" i="7"/>
  <c r="U73" i="7"/>
  <c r="U68" i="7"/>
  <c r="U98" i="7"/>
  <c r="U24" i="7"/>
  <c r="U135" i="6"/>
  <c r="U20" i="6"/>
  <c r="U110" i="6"/>
  <c r="U81" i="6"/>
  <c r="U76" i="6"/>
  <c r="U54" i="6"/>
  <c r="U53" i="6"/>
  <c r="U94" i="6"/>
  <c r="U103" i="6"/>
  <c r="U139" i="6"/>
  <c r="U107" i="6"/>
  <c r="U75" i="6"/>
  <c r="U41" i="6"/>
  <c r="U34" i="6"/>
  <c r="U103" i="7"/>
  <c r="U157" i="6"/>
  <c r="U165" i="6"/>
  <c r="U61" i="7"/>
  <c r="U99" i="7"/>
  <c r="U42" i="7"/>
  <c r="AO84" i="6"/>
  <c r="AL84" i="6"/>
  <c r="AN84" i="6" s="1"/>
  <c r="U21" i="6"/>
  <c r="U58" i="6"/>
  <c r="U16" i="6"/>
  <c r="U15" i="6"/>
  <c r="AO149" i="6"/>
  <c r="AL149" i="6"/>
  <c r="AN149" i="6" s="1"/>
  <c r="U84" i="6" l="1"/>
  <c r="U149" i="6"/>
  <c r="V79" i="7"/>
  <c r="S79" i="7"/>
  <c r="O79" i="7"/>
  <c r="V78" i="7"/>
  <c r="S78" i="7"/>
  <c r="O78" i="7"/>
  <c r="V76" i="7"/>
  <c r="S76" i="7"/>
  <c r="O76" i="7"/>
  <c r="V84" i="7"/>
  <c r="S84" i="7"/>
  <c r="O84" i="7"/>
  <c r="V75" i="7"/>
  <c r="S75" i="7"/>
  <c r="O75" i="7"/>
  <c r="V85" i="7"/>
  <c r="S85" i="7"/>
  <c r="O85" i="7"/>
  <c r="V71" i="7"/>
  <c r="S71" i="7"/>
  <c r="O71" i="7"/>
  <c r="V66" i="7"/>
  <c r="S66" i="7"/>
  <c r="O66" i="7"/>
  <c r="V63" i="7"/>
  <c r="S63" i="7"/>
  <c r="O63" i="7"/>
  <c r="V62" i="7"/>
  <c r="S62" i="7"/>
  <c r="O62" i="7"/>
  <c r="V65" i="7"/>
  <c r="S65" i="7"/>
  <c r="O65" i="7"/>
  <c r="V86" i="7"/>
  <c r="S86" i="7"/>
  <c r="O86" i="7"/>
  <c r="V58" i="7"/>
  <c r="S58" i="7"/>
  <c r="O58" i="7"/>
  <c r="T79" i="7" l="1"/>
  <c r="AG79" i="7" s="1"/>
  <c r="T78" i="7"/>
  <c r="AI78" i="7" s="1"/>
  <c r="T76" i="7"/>
  <c r="AC76" i="7" s="1"/>
  <c r="AF79" i="7"/>
  <c r="AH79" i="7"/>
  <c r="AI79" i="7"/>
  <c r="W79" i="7"/>
  <c r="AF78" i="7"/>
  <c r="AC78" i="7"/>
  <c r="AD78" i="7"/>
  <c r="T75" i="7"/>
  <c r="AG75" i="7" s="1"/>
  <c r="W78" i="7"/>
  <c r="AE78" i="7"/>
  <c r="T71" i="7"/>
  <c r="AG71" i="7" s="1"/>
  <c r="T84" i="7"/>
  <c r="W84" i="7" s="1"/>
  <c r="T66" i="7"/>
  <c r="W66" i="7" s="1"/>
  <c r="T85" i="7"/>
  <c r="AH85" i="7" s="1"/>
  <c r="T62" i="7"/>
  <c r="AI62" i="7" s="1"/>
  <c r="T63" i="7"/>
  <c r="AH63" i="7" s="1"/>
  <c r="T86" i="7"/>
  <c r="AI86" i="7" s="1"/>
  <c r="T65" i="7"/>
  <c r="AI65" i="7" s="1"/>
  <c r="T58" i="7"/>
  <c r="AH58" i="7" s="1"/>
  <c r="V26" i="7"/>
  <c r="S26" i="7"/>
  <c r="O26" i="7"/>
  <c r="V18" i="7"/>
  <c r="S18" i="7"/>
  <c r="O18" i="7"/>
  <c r="V17" i="7"/>
  <c r="S17" i="7"/>
  <c r="O17" i="7"/>
  <c r="V12" i="7"/>
  <c r="S12" i="7"/>
  <c r="O12" i="7"/>
  <c r="AJ79" i="7" l="1"/>
  <c r="AG62" i="7"/>
  <c r="AH78" i="7"/>
  <c r="AJ78" i="7"/>
  <c r="AN78" i="7" s="1"/>
  <c r="AD79" i="7"/>
  <c r="AC79" i="7"/>
  <c r="AJ75" i="7"/>
  <c r="AJ62" i="7"/>
  <c r="AH66" i="7"/>
  <c r="AB76" i="7"/>
  <c r="AE62" i="7"/>
  <c r="AH62" i="7"/>
  <c r="W62" i="7"/>
  <c r="AD62" i="7"/>
  <c r="AG66" i="7"/>
  <c r="AG76" i="7"/>
  <c r="AB71" i="7"/>
  <c r="AJ66" i="7"/>
  <c r="AC66" i="7"/>
  <c r="AE71" i="7"/>
  <c r="AH71" i="7"/>
  <c r="AE76" i="7"/>
  <c r="AE79" i="7"/>
  <c r="AB79" i="7"/>
  <c r="AF66" i="7"/>
  <c r="W71" i="7"/>
  <c r="AI66" i="7"/>
  <c r="AD71" i="7"/>
  <c r="AD66" i="7"/>
  <c r="AB75" i="7"/>
  <c r="AI76" i="7"/>
  <c r="AF76" i="7"/>
  <c r="AC62" i="7"/>
  <c r="AC71" i="7"/>
  <c r="AJ71" i="7"/>
  <c r="AB66" i="7"/>
  <c r="AE66" i="7"/>
  <c r="AC75" i="7"/>
  <c r="AI75" i="7"/>
  <c r="AH75" i="7"/>
  <c r="AG78" i="7"/>
  <c r="AB78" i="7"/>
  <c r="AD76" i="7"/>
  <c r="AJ76" i="7"/>
  <c r="AF71" i="7"/>
  <c r="AI71" i="7"/>
  <c r="AE75" i="7"/>
  <c r="W76" i="7"/>
  <c r="AH76" i="7"/>
  <c r="AJ84" i="7"/>
  <c r="AG85" i="7"/>
  <c r="AF62" i="7"/>
  <c r="AB62" i="7"/>
  <c r="AE86" i="7"/>
  <c r="AB86" i="7"/>
  <c r="AB63" i="7"/>
  <c r="W63" i="7"/>
  <c r="AB85" i="7"/>
  <c r="AD85" i="7"/>
  <c r="AJ63" i="7"/>
  <c r="AF85" i="7"/>
  <c r="W85" i="7"/>
  <c r="AJ65" i="7"/>
  <c r="AC85" i="7"/>
  <c r="AI85" i="7"/>
  <c r="AE85" i="7"/>
  <c r="AJ85" i="7"/>
  <c r="AE84" i="7"/>
  <c r="AD86" i="7"/>
  <c r="AG86" i="7"/>
  <c r="AJ86" i="7"/>
  <c r="AC86" i="7"/>
  <c r="W86" i="7"/>
  <c r="AF84" i="7"/>
  <c r="AH84" i="7"/>
  <c r="AG84" i="7"/>
  <c r="AI84" i="7"/>
  <c r="AB84" i="7"/>
  <c r="AD84" i="7"/>
  <c r="AH86" i="7"/>
  <c r="AF86" i="7"/>
  <c r="AF75" i="7"/>
  <c r="W75" i="7"/>
  <c r="AD75" i="7"/>
  <c r="AC84" i="7"/>
  <c r="AK79" i="7"/>
  <c r="AM79" i="7" s="1"/>
  <c r="AN79" i="7"/>
  <c r="AI63" i="7"/>
  <c r="AC65" i="7"/>
  <c r="AH65" i="7"/>
  <c r="AC63" i="7"/>
  <c r="AE63" i="7"/>
  <c r="AF63" i="7"/>
  <c r="AG63" i="7"/>
  <c r="AD65" i="7"/>
  <c r="AD63" i="7"/>
  <c r="AF65" i="7"/>
  <c r="W65" i="7"/>
  <c r="AE65" i="7"/>
  <c r="AG65" i="7"/>
  <c r="AB65" i="7"/>
  <c r="AD58" i="7"/>
  <c r="AF58" i="7"/>
  <c r="AG58" i="7"/>
  <c r="AB58" i="7"/>
  <c r="AC58" i="7"/>
  <c r="AE58" i="7"/>
  <c r="AJ58" i="7"/>
  <c r="W58" i="7"/>
  <c r="T26" i="7"/>
  <c r="W26" i="7" s="1"/>
  <c r="AI58" i="7"/>
  <c r="T12" i="7"/>
  <c r="AI12" i="7" s="1"/>
  <c r="T17" i="7"/>
  <c r="AJ17" i="7" s="1"/>
  <c r="T18" i="7"/>
  <c r="AJ18" i="7" s="1"/>
  <c r="V162" i="7"/>
  <c r="S162" i="7"/>
  <c r="O162" i="7"/>
  <c r="V161" i="7"/>
  <c r="S161" i="7"/>
  <c r="O161" i="7"/>
  <c r="V153" i="7"/>
  <c r="S153" i="7"/>
  <c r="O153" i="7"/>
  <c r="V152" i="7"/>
  <c r="S152" i="7"/>
  <c r="O152" i="7"/>
  <c r="V148" i="7"/>
  <c r="S148" i="7"/>
  <c r="O148" i="7"/>
  <c r="V137" i="7"/>
  <c r="S137" i="7"/>
  <c r="O137" i="7"/>
  <c r="V135" i="7"/>
  <c r="S135" i="7"/>
  <c r="O135" i="7"/>
  <c r="V134" i="7"/>
  <c r="S134" i="7"/>
  <c r="O134" i="7"/>
  <c r="V133" i="7"/>
  <c r="S133" i="7"/>
  <c r="O133" i="7"/>
  <c r="V127" i="7"/>
  <c r="S127" i="7"/>
  <c r="O127" i="7"/>
  <c r="V126" i="7"/>
  <c r="S126" i="7"/>
  <c r="O126" i="7"/>
  <c r="V125" i="7"/>
  <c r="S125" i="7"/>
  <c r="O125" i="7"/>
  <c r="V124" i="7"/>
  <c r="S124" i="7"/>
  <c r="O124" i="7"/>
  <c r="V121" i="7"/>
  <c r="S121" i="7"/>
  <c r="O121" i="7"/>
  <c r="V120" i="7"/>
  <c r="S120" i="7"/>
  <c r="O120" i="7"/>
  <c r="V143" i="7"/>
  <c r="S143" i="7"/>
  <c r="O143" i="7"/>
  <c r="V142" i="7"/>
  <c r="S142" i="7"/>
  <c r="O142" i="7"/>
  <c r="V141" i="7"/>
  <c r="S141" i="7"/>
  <c r="O141" i="7"/>
  <c r="V140" i="7"/>
  <c r="S140" i="7"/>
  <c r="O140" i="7"/>
  <c r="V139" i="7"/>
  <c r="S139" i="7"/>
  <c r="O139" i="7"/>
  <c r="V138" i="7"/>
  <c r="S138" i="7"/>
  <c r="O138" i="7"/>
  <c r="V52" i="7"/>
  <c r="S52" i="7"/>
  <c r="O52" i="7"/>
  <c r="V49" i="7"/>
  <c r="S49" i="7"/>
  <c r="O49" i="7"/>
  <c r="V38" i="7"/>
  <c r="S38" i="7"/>
  <c r="O38" i="7"/>
  <c r="V41" i="7"/>
  <c r="S41" i="7"/>
  <c r="O41" i="7"/>
  <c r="V40" i="7"/>
  <c r="S40" i="7"/>
  <c r="O40" i="7"/>
  <c r="V36" i="7"/>
  <c r="S36" i="7"/>
  <c r="O36" i="7"/>
  <c r="V164" i="6"/>
  <c r="S164" i="6"/>
  <c r="O164" i="6"/>
  <c r="V162" i="6"/>
  <c r="S162" i="6"/>
  <c r="O162" i="6"/>
  <c r="V161" i="6"/>
  <c r="S161" i="6"/>
  <c r="O161" i="6"/>
  <c r="V159" i="6"/>
  <c r="S159" i="6"/>
  <c r="O159" i="6"/>
  <c r="V154" i="6"/>
  <c r="S154" i="6"/>
  <c r="O154" i="6"/>
  <c r="V156" i="6"/>
  <c r="S156" i="6"/>
  <c r="O156" i="6"/>
  <c r="V155" i="6"/>
  <c r="S155" i="6"/>
  <c r="O155" i="6"/>
  <c r="V147" i="6"/>
  <c r="S147" i="6"/>
  <c r="O147" i="6"/>
  <c r="V145" i="6"/>
  <c r="S145" i="6"/>
  <c r="O145" i="6"/>
  <c r="V130" i="6"/>
  <c r="S130" i="6"/>
  <c r="O130" i="6"/>
  <c r="V129" i="6"/>
  <c r="S129" i="6"/>
  <c r="O129" i="6"/>
  <c r="V128" i="6"/>
  <c r="S128" i="6"/>
  <c r="O128" i="6"/>
  <c r="V126" i="6"/>
  <c r="S126" i="6"/>
  <c r="O126" i="6"/>
  <c r="V124" i="6"/>
  <c r="S124" i="6"/>
  <c r="O124" i="6"/>
  <c r="V121" i="6"/>
  <c r="S121" i="6"/>
  <c r="O121" i="6"/>
  <c r="V120" i="6"/>
  <c r="S120" i="6"/>
  <c r="O120" i="6"/>
  <c r="V113" i="6"/>
  <c r="S113" i="6"/>
  <c r="O113" i="6"/>
  <c r="V109" i="6"/>
  <c r="S109" i="6"/>
  <c r="O109" i="6"/>
  <c r="V102" i="6"/>
  <c r="S102" i="6"/>
  <c r="O102" i="6"/>
  <c r="V106" i="6"/>
  <c r="S106" i="6"/>
  <c r="O106" i="6"/>
  <c r="V104" i="6"/>
  <c r="S104" i="6"/>
  <c r="O104" i="6"/>
  <c r="V116" i="6"/>
  <c r="S116" i="6"/>
  <c r="O116" i="6"/>
  <c r="V115" i="6"/>
  <c r="S115" i="6"/>
  <c r="O115" i="6"/>
  <c r="V114" i="6"/>
  <c r="S114" i="6"/>
  <c r="O114" i="6"/>
  <c r="V19" i="6"/>
  <c r="S19" i="6"/>
  <c r="O19" i="6"/>
  <c r="V14" i="6"/>
  <c r="S14" i="6"/>
  <c r="O14" i="6"/>
  <c r="V26" i="6"/>
  <c r="S26" i="6"/>
  <c r="O26" i="6"/>
  <c r="V11" i="6"/>
  <c r="S11" i="6"/>
  <c r="O11" i="6"/>
  <c r="AK78" i="7" l="1"/>
  <c r="AM78" i="7" s="1"/>
  <c r="AK85" i="7"/>
  <c r="AM85" i="7" s="1"/>
  <c r="AN62" i="7"/>
  <c r="AK66" i="7"/>
  <c r="AM66" i="7" s="1"/>
  <c r="U66" i="7" s="1"/>
  <c r="AK71" i="7"/>
  <c r="AM71" i="7" s="1"/>
  <c r="W17" i="7"/>
  <c r="AD17" i="7"/>
  <c r="AN85" i="7"/>
  <c r="AN71" i="7"/>
  <c r="AN66" i="7"/>
  <c r="W12" i="7"/>
  <c r="AH12" i="7"/>
  <c r="AC18" i="7"/>
  <c r="AB18" i="7"/>
  <c r="AE18" i="7"/>
  <c r="AB17" i="7"/>
  <c r="AE26" i="7"/>
  <c r="AD26" i="7"/>
  <c r="AF18" i="7"/>
  <c r="AI18" i="7"/>
  <c r="AJ26" i="7"/>
  <c r="AG26" i="7"/>
  <c r="AC26" i="7"/>
  <c r="AF26" i="7"/>
  <c r="AE12" i="7"/>
  <c r="AC12" i="7"/>
  <c r="AJ12" i="7"/>
  <c r="AG12" i="7"/>
  <c r="AD12" i="7"/>
  <c r="AF12" i="7"/>
  <c r="AB12" i="7"/>
  <c r="AK76" i="7"/>
  <c r="AM76" i="7" s="1"/>
  <c r="AK62" i="7"/>
  <c r="AM62" i="7" s="1"/>
  <c r="U62" i="7" s="1"/>
  <c r="AN76" i="7"/>
  <c r="AN75" i="7"/>
  <c r="AK86" i="7"/>
  <c r="AM86" i="7" s="1"/>
  <c r="AN86" i="7"/>
  <c r="AK75" i="7"/>
  <c r="AM75" i="7" s="1"/>
  <c r="U78" i="7"/>
  <c r="U79" i="7"/>
  <c r="AN84" i="7"/>
  <c r="AB26" i="7"/>
  <c r="AK84" i="7"/>
  <c r="AM84" i="7" s="1"/>
  <c r="AK63" i="7"/>
  <c r="AM63" i="7" s="1"/>
  <c r="AN65" i="7"/>
  <c r="AC17" i="7"/>
  <c r="AH17" i="7"/>
  <c r="AE17" i="7"/>
  <c r="AG17" i="7"/>
  <c r="AF17" i="7"/>
  <c r="AI17" i="7"/>
  <c r="AN63" i="7"/>
  <c r="T116" i="6"/>
  <c r="W116" i="6" s="1"/>
  <c r="T104" i="6"/>
  <c r="AI26" i="7"/>
  <c r="AH26" i="7"/>
  <c r="U71" i="7"/>
  <c r="AN58" i="7"/>
  <c r="AK65" i="7"/>
  <c r="AM65" i="7" s="1"/>
  <c r="AK58" i="7"/>
  <c r="AM58" i="7" s="1"/>
  <c r="T11" i="6"/>
  <c r="AE11" i="6" s="1"/>
  <c r="T161" i="6"/>
  <c r="AK161" i="6" s="1"/>
  <c r="T106" i="6"/>
  <c r="AK106" i="6" s="1"/>
  <c r="T142" i="7"/>
  <c r="W142" i="7" s="1"/>
  <c r="AD18" i="7"/>
  <c r="T120" i="7"/>
  <c r="AH120" i="7" s="1"/>
  <c r="AH18" i="7"/>
  <c r="W18" i="7"/>
  <c r="AG18" i="7"/>
  <c r="T133" i="7"/>
  <c r="AJ133" i="7" s="1"/>
  <c r="T139" i="7"/>
  <c r="AG139" i="7" s="1"/>
  <c r="T152" i="7"/>
  <c r="AG152" i="7" s="1"/>
  <c r="T121" i="7"/>
  <c r="AI121" i="7" s="1"/>
  <c r="T134" i="7"/>
  <c r="T148" i="7"/>
  <c r="AE148" i="7" s="1"/>
  <c r="T140" i="7"/>
  <c r="W140" i="7" s="1"/>
  <c r="T161" i="7"/>
  <c r="AF161" i="7" s="1"/>
  <c r="T141" i="7"/>
  <c r="W141" i="7" s="1"/>
  <c r="T135" i="7"/>
  <c r="AC135" i="7" s="1"/>
  <c r="T126" i="7"/>
  <c r="AH126" i="7" s="1"/>
  <c r="T162" i="7"/>
  <c r="AJ162" i="7" s="1"/>
  <c r="T153" i="7"/>
  <c r="AH153" i="7" s="1"/>
  <c r="T124" i="7"/>
  <c r="AC124" i="7" s="1"/>
  <c r="T125" i="7"/>
  <c r="AJ125" i="7" s="1"/>
  <c r="AB162" i="7"/>
  <c r="T138" i="7"/>
  <c r="W138" i="7" s="1"/>
  <c r="T143" i="7"/>
  <c r="W143" i="7" s="1"/>
  <c r="T137" i="7"/>
  <c r="AE137" i="7" s="1"/>
  <c r="AG135" i="7"/>
  <c r="AJ134" i="7"/>
  <c r="AC134" i="7"/>
  <c r="AI134" i="7"/>
  <c r="W134" i="7"/>
  <c r="AG134" i="7"/>
  <c r="AE134" i="7"/>
  <c r="T127" i="7"/>
  <c r="W127" i="7" s="1"/>
  <c r="AF120" i="7"/>
  <c r="AF126" i="7"/>
  <c r="AD134" i="7"/>
  <c r="AH134" i="7"/>
  <c r="AF135" i="7"/>
  <c r="AF137" i="7"/>
  <c r="AB134" i="7"/>
  <c r="AF134" i="7"/>
  <c r="AG142" i="7"/>
  <c r="T49" i="7"/>
  <c r="AD49" i="7" s="1"/>
  <c r="T40" i="7"/>
  <c r="AI40" i="7" s="1"/>
  <c r="T38" i="7"/>
  <c r="W38" i="7" s="1"/>
  <c r="T52" i="7"/>
  <c r="AI52" i="7" s="1"/>
  <c r="T41" i="7"/>
  <c r="W41" i="7" s="1"/>
  <c r="T36" i="7"/>
  <c r="AJ36" i="7" s="1"/>
  <c r="T102" i="6"/>
  <c r="AF102" i="6" s="1"/>
  <c r="T126" i="6"/>
  <c r="AD126" i="6" s="1"/>
  <c r="T145" i="6"/>
  <c r="AK145" i="6" s="1"/>
  <c r="T109" i="6"/>
  <c r="AK109" i="6" s="1"/>
  <c r="T124" i="6"/>
  <c r="AH124" i="6" s="1"/>
  <c r="T155" i="6"/>
  <c r="AD155" i="6" s="1"/>
  <c r="T156" i="6"/>
  <c r="AK156" i="6" s="1"/>
  <c r="T115" i="6"/>
  <c r="AI115" i="6" s="1"/>
  <c r="T120" i="6"/>
  <c r="AH120" i="6" s="1"/>
  <c r="T121" i="6"/>
  <c r="AD121" i="6" s="1"/>
  <c r="T128" i="6"/>
  <c r="AF128" i="6" s="1"/>
  <c r="T129" i="6"/>
  <c r="AD129" i="6" s="1"/>
  <c r="T154" i="6"/>
  <c r="AI154" i="6" s="1"/>
  <c r="T162" i="6"/>
  <c r="AI162" i="6" s="1"/>
  <c r="T164" i="6"/>
  <c r="AK164" i="6" s="1"/>
  <c r="AH161" i="6"/>
  <c r="T159" i="6"/>
  <c r="AK159" i="6" s="1"/>
  <c r="AH155" i="6"/>
  <c r="AF155" i="6"/>
  <c r="T147" i="6"/>
  <c r="W147" i="6" s="1"/>
  <c r="AC155" i="6"/>
  <c r="AE155" i="6"/>
  <c r="AE162" i="6"/>
  <c r="AG164" i="6"/>
  <c r="T130" i="6"/>
  <c r="AD130" i="6" s="1"/>
  <c r="AF120" i="6"/>
  <c r="AD120" i="6"/>
  <c r="AK128" i="6"/>
  <c r="AH128" i="6"/>
  <c r="AJ128" i="6"/>
  <c r="W128" i="6"/>
  <c r="T114" i="6"/>
  <c r="W114" i="6" s="1"/>
  <c r="AK124" i="6"/>
  <c r="AF121" i="6"/>
  <c r="W124" i="6"/>
  <c r="AJ124" i="6"/>
  <c r="W121" i="6"/>
  <c r="AE120" i="6"/>
  <c r="AI120" i="6"/>
  <c r="AC120" i="6"/>
  <c r="AG120" i="6"/>
  <c r="AC128" i="6"/>
  <c r="T113" i="6"/>
  <c r="AJ113" i="6" s="1"/>
  <c r="AH102" i="6"/>
  <c r="AF116" i="6"/>
  <c r="AI104" i="6"/>
  <c r="AJ104" i="6"/>
  <c r="W104" i="6"/>
  <c r="AH104" i="6"/>
  <c r="AF104" i="6"/>
  <c r="AD104" i="6"/>
  <c r="AF106" i="6"/>
  <c r="AH106" i="6"/>
  <c r="AD106" i="6"/>
  <c r="AH116" i="6"/>
  <c r="AC104" i="6"/>
  <c r="AG104" i="6"/>
  <c r="AK104" i="6"/>
  <c r="AE106" i="6"/>
  <c r="AK102" i="6"/>
  <c r="AE104" i="6"/>
  <c r="AC116" i="6"/>
  <c r="AG116" i="6"/>
  <c r="AK116" i="6"/>
  <c r="T14" i="6"/>
  <c r="AD14" i="6" s="1"/>
  <c r="AE116" i="6"/>
  <c r="T19" i="6"/>
  <c r="AJ19" i="6" s="1"/>
  <c r="T26" i="6"/>
  <c r="AJ26" i="6" s="1"/>
  <c r="AK11" i="6"/>
  <c r="W11" i="6"/>
  <c r="AJ11" i="6"/>
  <c r="AI11" i="6"/>
  <c r="AD11" i="6"/>
  <c r="AG106" i="6" l="1"/>
  <c r="AG102" i="6"/>
  <c r="AJ106" i="6"/>
  <c r="W102" i="6"/>
  <c r="AG124" i="6"/>
  <c r="AI124" i="6"/>
  <c r="AD124" i="6"/>
  <c r="W120" i="6"/>
  <c r="AK120" i="6"/>
  <c r="AC106" i="6"/>
  <c r="AI106" i="6"/>
  <c r="W106" i="6"/>
  <c r="AI102" i="6"/>
  <c r="AC124" i="6"/>
  <c r="AE124" i="6"/>
  <c r="AF124" i="6"/>
  <c r="AJ120" i="6"/>
  <c r="AE102" i="6"/>
  <c r="AC102" i="6"/>
  <c r="AJ102" i="6"/>
  <c r="AI128" i="6"/>
  <c r="AD128" i="6"/>
  <c r="AE164" i="6"/>
  <c r="AK155" i="6"/>
  <c r="AI155" i="6"/>
  <c r="AG11" i="6"/>
  <c r="AF11" i="6"/>
  <c r="AH11" i="6"/>
  <c r="AC11" i="6"/>
  <c r="AD102" i="6"/>
  <c r="AG128" i="6"/>
  <c r="AE128" i="6"/>
  <c r="AG155" i="6"/>
  <c r="W155" i="6"/>
  <c r="AE126" i="6"/>
  <c r="AC126" i="6"/>
  <c r="AG161" i="6"/>
  <c r="AE156" i="6"/>
  <c r="AI129" i="6"/>
  <c r="AC125" i="7"/>
  <c r="AD143" i="7"/>
  <c r="AD142" i="7"/>
  <c r="AD152" i="7"/>
  <c r="U85" i="7"/>
  <c r="AE135" i="7"/>
  <c r="AJ140" i="7"/>
  <c r="AB121" i="7"/>
  <c r="W120" i="7"/>
  <c r="AH125" i="7"/>
  <c r="AE121" i="7"/>
  <c r="AD139" i="7"/>
  <c r="AD120" i="7"/>
  <c r="AB135" i="7"/>
  <c r="AD125" i="7"/>
  <c r="AB120" i="7"/>
  <c r="AE120" i="7"/>
  <c r="AC121" i="7"/>
  <c r="AE125" i="7"/>
  <c r="AI140" i="7"/>
  <c r="W135" i="7"/>
  <c r="AH135" i="7"/>
  <c r="AE140" i="7"/>
  <c r="AF139" i="7"/>
  <c r="AD135" i="7"/>
  <c r="AF125" i="7"/>
  <c r="AH121" i="7"/>
  <c r="AG120" i="7"/>
  <c r="W125" i="7"/>
  <c r="AG125" i="7"/>
  <c r="AI135" i="7"/>
  <c r="AD138" i="7"/>
  <c r="AI139" i="7"/>
  <c r="AB125" i="7"/>
  <c r="AJ135" i="7"/>
  <c r="AK135" i="7" s="1"/>
  <c r="AM135" i="7" s="1"/>
  <c r="AJ120" i="7"/>
  <c r="AI120" i="7"/>
  <c r="AC120" i="7"/>
  <c r="AI125" i="7"/>
  <c r="AN125" i="7" s="1"/>
  <c r="AI124" i="7"/>
  <c r="AE124" i="7"/>
  <c r="AF141" i="7"/>
  <c r="AF133" i="7"/>
  <c r="AD124" i="7"/>
  <c r="AF124" i="7"/>
  <c r="AG124" i="7"/>
  <c r="AH124" i="7"/>
  <c r="AH133" i="7"/>
  <c r="AB124" i="7"/>
  <c r="W124" i="7"/>
  <c r="W109" i="6"/>
  <c r="AH115" i="6"/>
  <c r="AH126" i="6"/>
  <c r="AG156" i="6"/>
  <c r="AE115" i="6"/>
  <c r="AG115" i="6"/>
  <c r="AD115" i="6"/>
  <c r="AF126" i="6"/>
  <c r="AC115" i="6"/>
  <c r="AC109" i="6"/>
  <c r="AD109" i="6"/>
  <c r="AJ155" i="6"/>
  <c r="AL155" i="6" s="1"/>
  <c r="AN155" i="6" s="1"/>
  <c r="AJ124" i="7"/>
  <c r="AG141" i="7"/>
  <c r="AD137" i="7"/>
  <c r="AJ137" i="7"/>
  <c r="AB137" i="7"/>
  <c r="AH137" i="7"/>
  <c r="AG137" i="7"/>
  <c r="AF127" i="7"/>
  <c r="AB127" i="7"/>
  <c r="AJ145" i="6"/>
  <c r="AI114" i="6"/>
  <c r="AK121" i="6"/>
  <c r="AI130" i="6"/>
  <c r="AK162" i="6"/>
  <c r="W145" i="6"/>
  <c r="AG121" i="6"/>
  <c r="AI121" i="6"/>
  <c r="AG145" i="6"/>
  <c r="AG162" i="6"/>
  <c r="AI145" i="6"/>
  <c r="AF145" i="6"/>
  <c r="AH145" i="6"/>
  <c r="AG114" i="6"/>
  <c r="AE114" i="6"/>
  <c r="AC114" i="6"/>
  <c r="AF114" i="6"/>
  <c r="AE121" i="6"/>
  <c r="AK130" i="6"/>
  <c r="AC121" i="6"/>
  <c r="AJ121" i="6"/>
  <c r="AH121" i="6"/>
  <c r="AC145" i="6"/>
  <c r="AC162" i="6"/>
  <c r="AE145" i="6"/>
  <c r="AD145" i="6"/>
  <c r="U86" i="7"/>
  <c r="AI137" i="7"/>
  <c r="AE152" i="7"/>
  <c r="AF152" i="7"/>
  <c r="AE161" i="7"/>
  <c r="AH161" i="7"/>
  <c r="AD161" i="7"/>
  <c r="AG161" i="7"/>
  <c r="AC161" i="7"/>
  <c r="AJ161" i="7"/>
  <c r="AK12" i="7"/>
  <c r="AM12" i="7" s="1"/>
  <c r="AN12" i="7"/>
  <c r="U76" i="7"/>
  <c r="U75" i="7"/>
  <c r="AK113" i="6"/>
  <c r="AH109" i="6"/>
  <c r="AJ116" i="6"/>
  <c r="W126" i="6"/>
  <c r="AI126" i="6"/>
  <c r="AC161" i="6"/>
  <c r="AC156" i="6"/>
  <c r="AH156" i="6"/>
  <c r="AI109" i="6"/>
  <c r="AF115" i="6"/>
  <c r="AI116" i="6"/>
  <c r="AK126" i="6"/>
  <c r="AJ126" i="6"/>
  <c r="AI161" i="6"/>
  <c r="AK115" i="6"/>
  <c r="AG109" i="6"/>
  <c r="AE109" i="6"/>
  <c r="AD116" i="6"/>
  <c r="AJ109" i="6"/>
  <c r="W115" i="6"/>
  <c r="AJ115" i="6"/>
  <c r="AF109" i="6"/>
  <c r="AG126" i="6"/>
  <c r="AF129" i="6"/>
  <c r="AE154" i="6"/>
  <c r="AE161" i="6"/>
  <c r="AG154" i="6"/>
  <c r="AE159" i="6"/>
  <c r="AE113" i="6"/>
  <c r="AG113" i="6"/>
  <c r="AJ114" i="6"/>
  <c r="AC164" i="6"/>
  <c r="AG147" i="6"/>
  <c r="AI164" i="6"/>
  <c r="AI156" i="6"/>
  <c r="AJ156" i="6"/>
  <c r="AF156" i="6"/>
  <c r="W161" i="6"/>
  <c r="AC147" i="6"/>
  <c r="W156" i="6"/>
  <c r="AD156" i="6"/>
  <c r="AF161" i="6"/>
  <c r="AJ161" i="6"/>
  <c r="W154" i="6"/>
  <c r="AD161" i="6"/>
  <c r="AF14" i="6"/>
  <c r="AB152" i="7"/>
  <c r="U84" i="7"/>
  <c r="AC138" i="7"/>
  <c r="AF138" i="7"/>
  <c r="AH138" i="7"/>
  <c r="AB138" i="7"/>
  <c r="AI138" i="7"/>
  <c r="AE138" i="7"/>
  <c r="AG138" i="7"/>
  <c r="AJ138" i="7"/>
  <c r="AK26" i="7"/>
  <c r="AM26" i="7" s="1"/>
  <c r="AJ143" i="7"/>
  <c r="AG143" i="7"/>
  <c r="U65" i="7"/>
  <c r="U63" i="7"/>
  <c r="AC139" i="7"/>
  <c r="AF143" i="7"/>
  <c r="AB139" i="7"/>
  <c r="AC142" i="7"/>
  <c r="AE139" i="7"/>
  <c r="AJ142" i="7"/>
  <c r="AF140" i="7"/>
  <c r="AH127" i="7"/>
  <c r="AD121" i="7"/>
  <c r="AG121" i="7"/>
  <c r="AJ121" i="7"/>
  <c r="W139" i="7"/>
  <c r="AC143" i="7"/>
  <c r="AB143" i="7"/>
  <c r="AH140" i="7"/>
  <c r="AI143" i="7"/>
  <c r="AG140" i="7"/>
  <c r="AF142" i="7"/>
  <c r="AB140" i="7"/>
  <c r="AI142" i="7"/>
  <c r="W121" i="7"/>
  <c r="AJ139" i="7"/>
  <c r="AE142" i="7"/>
  <c r="AH142" i="7"/>
  <c r="AD140" i="7"/>
  <c r="AE143" i="7"/>
  <c r="AC140" i="7"/>
  <c r="AH143" i="7"/>
  <c r="AB142" i="7"/>
  <c r="AH139" i="7"/>
  <c r="AF121" i="7"/>
  <c r="AE40" i="7"/>
  <c r="AB40" i="7"/>
  <c r="AE49" i="7"/>
  <c r="AC162" i="7"/>
  <c r="AF162" i="7"/>
  <c r="AI162" i="7"/>
  <c r="AI38" i="7"/>
  <c r="AE162" i="7"/>
  <c r="AK17" i="7"/>
  <c r="AM17" i="7" s="1"/>
  <c r="AD127" i="7"/>
  <c r="AI127" i="7"/>
  <c r="AN26" i="7"/>
  <c r="U58" i="7"/>
  <c r="AN17" i="7"/>
  <c r="AD154" i="6"/>
  <c r="AH154" i="6"/>
  <c r="AC154" i="6"/>
  <c r="AJ154" i="6"/>
  <c r="AF154" i="6"/>
  <c r="AK154" i="6"/>
  <c r="AJ162" i="6"/>
  <c r="AE147" i="6"/>
  <c r="AD162" i="6"/>
  <c r="AI147" i="6"/>
  <c r="AF162" i="6"/>
  <c r="AH14" i="6"/>
  <c r="AG130" i="6"/>
  <c r="AK114" i="6"/>
  <c r="AD114" i="6"/>
  <c r="AH114" i="6"/>
  <c r="AC113" i="6"/>
  <c r="AC130" i="6"/>
  <c r="AH162" i="6"/>
  <c r="AC40" i="7"/>
  <c r="AH40" i="7"/>
  <c r="AB141" i="7"/>
  <c r="AB133" i="7"/>
  <c r="AD126" i="7"/>
  <c r="AJ141" i="7"/>
  <c r="AD133" i="7"/>
  <c r="AB126" i="7"/>
  <c r="AE126" i="7"/>
  <c r="AG133" i="7"/>
  <c r="AE133" i="7"/>
  <c r="AG153" i="7"/>
  <c r="AG148" i="7"/>
  <c r="AF148" i="7"/>
  <c r="W148" i="7"/>
  <c r="AC141" i="7"/>
  <c r="AI141" i="7"/>
  <c r="AH141" i="7"/>
  <c r="AI126" i="7"/>
  <c r="AC126" i="7"/>
  <c r="AC133" i="7"/>
  <c r="AI133" i="7"/>
  <c r="AD148" i="7"/>
  <c r="AC153" i="7"/>
  <c r="AC148" i="7"/>
  <c r="AI148" i="7"/>
  <c r="AD40" i="7"/>
  <c r="AG40" i="7"/>
  <c r="AJ40" i="7"/>
  <c r="W40" i="7"/>
  <c r="AE141" i="7"/>
  <c r="AD141" i="7"/>
  <c r="AJ126" i="7"/>
  <c r="W126" i="7"/>
  <c r="AG126" i="7"/>
  <c r="W133" i="7"/>
  <c r="AD153" i="7"/>
  <c r="AI152" i="7"/>
  <c r="AH162" i="7"/>
  <c r="AB153" i="7"/>
  <c r="AJ152" i="7"/>
  <c r="AF40" i="7"/>
  <c r="AJ38" i="7"/>
  <c r="AF49" i="7"/>
  <c r="AK18" i="7"/>
  <c r="AM18" i="7" s="1"/>
  <c r="AI49" i="7"/>
  <c r="AH49" i="7"/>
  <c r="AC127" i="7"/>
  <c r="AE127" i="7"/>
  <c r="AB49" i="7"/>
  <c r="AG49" i="7"/>
  <c r="W49" i="7"/>
  <c r="AD162" i="7"/>
  <c r="AJ153" i="7"/>
  <c r="W161" i="7"/>
  <c r="AJ49" i="7"/>
  <c r="AC49" i="7"/>
  <c r="AE153" i="7"/>
  <c r="AF153" i="7"/>
  <c r="AI153" i="7"/>
  <c r="AI161" i="7"/>
  <c r="W162" i="6"/>
  <c r="AH130" i="6"/>
  <c r="AF147" i="6"/>
  <c r="AJ147" i="6"/>
  <c r="AI14" i="6"/>
  <c r="AJ130" i="6"/>
  <c r="W159" i="6"/>
  <c r="AD113" i="6"/>
  <c r="AG14" i="6"/>
  <c r="W14" i="6"/>
  <c r="AK14" i="6"/>
  <c r="AF130" i="6"/>
  <c r="AH147" i="6"/>
  <c r="AH164" i="6"/>
  <c r="AC14" i="6"/>
  <c r="W130" i="6"/>
  <c r="AD147" i="6"/>
  <c r="AK147" i="6"/>
  <c r="AH148" i="7"/>
  <c r="AD41" i="7"/>
  <c r="AJ127" i="7"/>
  <c r="AB161" i="7"/>
  <c r="AB148" i="7"/>
  <c r="AH152" i="7"/>
  <c r="W152" i="7"/>
  <c r="AF41" i="7"/>
  <c r="AJ148" i="7"/>
  <c r="AC152" i="7"/>
  <c r="AJ41" i="7"/>
  <c r="AG127" i="7"/>
  <c r="W137" i="7"/>
  <c r="AE41" i="7"/>
  <c r="AH52" i="7"/>
  <c r="AN18" i="7"/>
  <c r="AG52" i="7"/>
  <c r="AE38" i="7"/>
  <c r="AG38" i="7"/>
  <c r="AF38" i="7"/>
  <c r="AD52" i="7"/>
  <c r="AJ52" i="7"/>
  <c r="AH38" i="7"/>
  <c r="AC38" i="7"/>
  <c r="AB38" i="7"/>
  <c r="AD38" i="7"/>
  <c r="AE36" i="7"/>
  <c r="AC137" i="7"/>
  <c r="AH36" i="7"/>
  <c r="AD36" i="7"/>
  <c r="AG36" i="7"/>
  <c r="AB41" i="7"/>
  <c r="W153" i="7"/>
  <c r="AG162" i="7"/>
  <c r="AF36" i="7"/>
  <c r="W36" i="7"/>
  <c r="AC41" i="7"/>
  <c r="AG41" i="7"/>
  <c r="AB36" i="7"/>
  <c r="AC36" i="7"/>
  <c r="AI36" i="7"/>
  <c r="AH41" i="7"/>
  <c r="W162" i="7"/>
  <c r="AN135" i="7"/>
  <c r="AK134" i="7"/>
  <c r="AM134" i="7" s="1"/>
  <c r="AN134" i="7"/>
  <c r="AK125" i="7"/>
  <c r="AM125" i="7" s="1"/>
  <c r="AI41" i="7"/>
  <c r="AB52" i="7"/>
  <c r="AE52" i="7"/>
  <c r="W52" i="7"/>
  <c r="AF52" i="7"/>
  <c r="AC52" i="7"/>
  <c r="AH113" i="6"/>
  <c r="AF113" i="6"/>
  <c r="W113" i="6"/>
  <c r="AI113" i="6"/>
  <c r="AD164" i="6"/>
  <c r="W164" i="6"/>
  <c r="AK129" i="6"/>
  <c r="AG159" i="6"/>
  <c r="AJ159" i="6"/>
  <c r="AE129" i="6"/>
  <c r="AG129" i="6"/>
  <c r="AJ129" i="6"/>
  <c r="AH129" i="6"/>
  <c r="AC159" i="6"/>
  <c r="AD159" i="6"/>
  <c r="AE14" i="6"/>
  <c r="AJ14" i="6"/>
  <c r="AE130" i="6"/>
  <c r="AC129" i="6"/>
  <c r="W129" i="6"/>
  <c r="AI159" i="6"/>
  <c r="AH159" i="6"/>
  <c r="AF159" i="6"/>
  <c r="AF164" i="6"/>
  <c r="AJ164" i="6"/>
  <c r="AO155" i="6"/>
  <c r="AL124" i="6"/>
  <c r="AN124" i="6" s="1"/>
  <c r="AO124" i="6"/>
  <c r="AO128" i="6"/>
  <c r="AO120" i="6"/>
  <c r="AL120" i="6"/>
  <c r="AN120" i="6" s="1"/>
  <c r="AL106" i="6"/>
  <c r="AN106" i="6" s="1"/>
  <c r="AO106" i="6"/>
  <c r="AO102" i="6"/>
  <c r="AL102" i="6"/>
  <c r="AN102" i="6" s="1"/>
  <c r="AO104" i="6"/>
  <c r="AL104" i="6"/>
  <c r="AN104" i="6" s="1"/>
  <c r="AK19" i="6"/>
  <c r="AD19" i="6"/>
  <c r="AI19" i="6"/>
  <c r="W19" i="6"/>
  <c r="W26" i="6"/>
  <c r="AI26" i="6"/>
  <c r="AH26" i="6"/>
  <c r="AE26" i="6"/>
  <c r="AK26" i="6"/>
  <c r="AD26" i="6"/>
  <c r="AG26" i="6"/>
  <c r="AF26" i="6"/>
  <c r="AC26" i="6"/>
  <c r="AC19" i="6"/>
  <c r="AH19" i="6"/>
  <c r="AF19" i="6"/>
  <c r="AG19" i="6"/>
  <c r="AE19" i="6"/>
  <c r="AL11" i="6"/>
  <c r="AN11" i="6" s="1"/>
  <c r="AO11" i="6"/>
  <c r="V9" i="6"/>
  <c r="S9" i="6"/>
  <c r="O9" i="6"/>
  <c r="AO115" i="6" l="1"/>
  <c r="AL116" i="6"/>
  <c r="AN116" i="6" s="1"/>
  <c r="AO145" i="6"/>
  <c r="AL128" i="6"/>
  <c r="AN128" i="6" s="1"/>
  <c r="U128" i="6" s="1"/>
  <c r="AL115" i="6"/>
  <c r="AN115" i="6" s="1"/>
  <c r="U115" i="6" s="1"/>
  <c r="AO116" i="6"/>
  <c r="AL145" i="6"/>
  <c r="AN145" i="6" s="1"/>
  <c r="AL109" i="6"/>
  <c r="AN109" i="6" s="1"/>
  <c r="AO126" i="6"/>
  <c r="AO164" i="6"/>
  <c r="AL161" i="6"/>
  <c r="AN161" i="6" s="1"/>
  <c r="AO109" i="6"/>
  <c r="AO121" i="6"/>
  <c r="U121" i="6" s="1"/>
  <c r="AL126" i="6"/>
  <c r="AN126" i="6" s="1"/>
  <c r="U126" i="6" s="1"/>
  <c r="AL121" i="6"/>
  <c r="AN121" i="6" s="1"/>
  <c r="AO161" i="6"/>
  <c r="U161" i="6" s="1"/>
  <c r="AN143" i="7"/>
  <c r="AK120" i="7"/>
  <c r="AM120" i="7" s="1"/>
  <c r="AN120" i="7"/>
  <c r="AN124" i="7"/>
  <c r="AN140" i="7"/>
  <c r="AK140" i="7"/>
  <c r="AM140" i="7" s="1"/>
  <c r="U140" i="7" s="1"/>
  <c r="AK137" i="7"/>
  <c r="AM137" i="7" s="1"/>
  <c r="AK124" i="7"/>
  <c r="AM124" i="7" s="1"/>
  <c r="U124" i="7" s="1"/>
  <c r="AN161" i="7"/>
  <c r="AK138" i="7"/>
  <c r="AM138" i="7" s="1"/>
  <c r="U12" i="7"/>
  <c r="AN137" i="7"/>
  <c r="AK133" i="7"/>
  <c r="AM133" i="7" s="1"/>
  <c r="AN141" i="7"/>
  <c r="AN121" i="7"/>
  <c r="AK142" i="7"/>
  <c r="AM142" i="7" s="1"/>
  <c r="AK143" i="7"/>
  <c r="AM143" i="7" s="1"/>
  <c r="U143" i="7" s="1"/>
  <c r="AN138" i="7"/>
  <c r="AK141" i="7"/>
  <c r="AM141" i="7" s="1"/>
  <c r="AK40" i="7"/>
  <c r="AM40" i="7" s="1"/>
  <c r="AN133" i="7"/>
  <c r="AK161" i="7"/>
  <c r="AM161" i="7" s="1"/>
  <c r="U26" i="7"/>
  <c r="AK139" i="7"/>
  <c r="AM139" i="7" s="1"/>
  <c r="AL162" i="6"/>
  <c r="AN162" i="6" s="1"/>
  <c r="AL156" i="6"/>
  <c r="AN156" i="6" s="1"/>
  <c r="AO156" i="6"/>
  <c r="AO162" i="6"/>
  <c r="AL114" i="6"/>
  <c r="AN114" i="6" s="1"/>
  <c r="AO130" i="6"/>
  <c r="AL154" i="6"/>
  <c r="AN154" i="6" s="1"/>
  <c r="AO154" i="6"/>
  <c r="U18" i="7"/>
  <c r="AK121" i="7"/>
  <c r="AM121" i="7" s="1"/>
  <c r="AN142" i="7"/>
  <c r="AN162" i="7"/>
  <c r="AN139" i="7"/>
  <c r="AK127" i="7"/>
  <c r="AM127" i="7" s="1"/>
  <c r="AK148" i="7"/>
  <c r="AM148" i="7" s="1"/>
  <c r="AK153" i="7"/>
  <c r="AM153" i="7" s="1"/>
  <c r="AK49" i="7"/>
  <c r="AM49" i="7" s="1"/>
  <c r="AK126" i="7"/>
  <c r="AM126" i="7" s="1"/>
  <c r="AN40" i="7"/>
  <c r="U17" i="7"/>
  <c r="AK152" i="7"/>
  <c r="AM152" i="7" s="1"/>
  <c r="AN152" i="7"/>
  <c r="AK38" i="7"/>
  <c r="AM38" i="7" s="1"/>
  <c r="AN153" i="7"/>
  <c r="AN38" i="7"/>
  <c r="AN49" i="7"/>
  <c r="AN127" i="7"/>
  <c r="AN148" i="7"/>
  <c r="AK162" i="7"/>
  <c r="AM162" i="7" s="1"/>
  <c r="AN126" i="7"/>
  <c r="AK52" i="7"/>
  <c r="AM52" i="7" s="1"/>
  <c r="AL14" i="6"/>
  <c r="AN14" i="6" s="1"/>
  <c r="AO14" i="6"/>
  <c r="AO113" i="6"/>
  <c r="AL130" i="6"/>
  <c r="AN130" i="6" s="1"/>
  <c r="AO114" i="6"/>
  <c r="AL147" i="6"/>
  <c r="AN147" i="6" s="1"/>
  <c r="AL113" i="6"/>
  <c r="AN113" i="6" s="1"/>
  <c r="U113" i="6" s="1"/>
  <c r="AO147" i="6"/>
  <c r="AO129" i="6"/>
  <c r="AK41" i="7"/>
  <c r="AM41" i="7" s="1"/>
  <c r="U155" i="6"/>
  <c r="AK36" i="7"/>
  <c r="AM36" i="7" s="1"/>
  <c r="AL129" i="6"/>
  <c r="AN129" i="6" s="1"/>
  <c r="AO159" i="6"/>
  <c r="U106" i="6"/>
  <c r="AN41" i="7"/>
  <c r="AN36" i="7"/>
  <c r="U120" i="7"/>
  <c r="AN52" i="7"/>
  <c r="U135" i="7"/>
  <c r="U134" i="7"/>
  <c r="U125" i="7"/>
  <c r="AL159" i="6"/>
  <c r="AN159" i="6" s="1"/>
  <c r="U120" i="6"/>
  <c r="U145" i="6"/>
  <c r="AL164" i="6"/>
  <c r="AN164" i="6" s="1"/>
  <c r="U124" i="6"/>
  <c r="U102" i="6"/>
  <c r="U104" i="6"/>
  <c r="AO19" i="6"/>
  <c r="AO26" i="6"/>
  <c r="AL26" i="6"/>
  <c r="AN26" i="6" s="1"/>
  <c r="T9" i="6"/>
  <c r="AK9" i="6" s="1"/>
  <c r="AL19" i="6"/>
  <c r="AN19" i="6" s="1"/>
  <c r="U11" i="6"/>
  <c r="V39" i="6"/>
  <c r="S39" i="6"/>
  <c r="O39" i="6"/>
  <c r="V164" i="7"/>
  <c r="S164" i="7"/>
  <c r="O164" i="7"/>
  <c r="V117" i="7"/>
  <c r="S117" i="7"/>
  <c r="O117" i="7"/>
  <c r="V116" i="7"/>
  <c r="S116" i="7"/>
  <c r="O116" i="7"/>
  <c r="V112" i="7"/>
  <c r="S112" i="7"/>
  <c r="O112" i="7"/>
  <c r="V110" i="7"/>
  <c r="S110" i="7"/>
  <c r="O110" i="7"/>
  <c r="V108" i="7"/>
  <c r="S108" i="7"/>
  <c r="O108" i="7"/>
  <c r="V102" i="7"/>
  <c r="S102" i="7"/>
  <c r="O102" i="7"/>
  <c r="Z94" i="7"/>
  <c r="V92" i="7"/>
  <c r="S92" i="7"/>
  <c r="O92" i="7"/>
  <c r="V91" i="7"/>
  <c r="S91" i="7"/>
  <c r="O91" i="7"/>
  <c r="V90" i="7"/>
  <c r="S90" i="7"/>
  <c r="O90" i="7"/>
  <c r="Z54" i="7"/>
  <c r="V47" i="7"/>
  <c r="S47" i="7"/>
  <c r="O47" i="7"/>
  <c r="V46" i="7"/>
  <c r="S46" i="7"/>
  <c r="O46" i="7"/>
  <c r="V34" i="7"/>
  <c r="S34" i="7"/>
  <c r="O34" i="7"/>
  <c r="Z28" i="7"/>
  <c r="V138" i="6"/>
  <c r="S138" i="6"/>
  <c r="O138" i="6"/>
  <c r="V137" i="6"/>
  <c r="S137" i="6"/>
  <c r="O137" i="6"/>
  <c r="V136" i="6"/>
  <c r="S136" i="6"/>
  <c r="O136" i="6"/>
  <c r="V79" i="6"/>
  <c r="S79" i="6"/>
  <c r="O79" i="6"/>
  <c r="V78" i="6"/>
  <c r="S78" i="6"/>
  <c r="O78" i="6"/>
  <c r="V77" i="6"/>
  <c r="S77" i="6"/>
  <c r="O77" i="6"/>
  <c r="Z71" i="6"/>
  <c r="V69" i="6"/>
  <c r="S69" i="6"/>
  <c r="O69" i="6"/>
  <c r="V68" i="6"/>
  <c r="S68" i="6"/>
  <c r="O68" i="6"/>
  <c r="V63" i="6"/>
  <c r="S63" i="6"/>
  <c r="O63" i="6"/>
  <c r="V57" i="6"/>
  <c r="S57" i="6"/>
  <c r="O57" i="6"/>
  <c r="V56" i="6"/>
  <c r="S56" i="6"/>
  <c r="O56" i="6"/>
  <c r="V51" i="6"/>
  <c r="S51" i="6"/>
  <c r="O51" i="6"/>
  <c r="Z47" i="6"/>
  <c r="V45" i="6"/>
  <c r="S45" i="6"/>
  <c r="O45" i="6"/>
  <c r="V42" i="6"/>
  <c r="S42" i="6"/>
  <c r="O42" i="6"/>
  <c r="Z28" i="6"/>
  <c r="U116" i="6" l="1"/>
  <c r="U109" i="6"/>
  <c r="U164" i="6"/>
  <c r="U121" i="7"/>
  <c r="U141" i="7"/>
  <c r="U126" i="7"/>
  <c r="U138" i="7"/>
  <c r="U127" i="7"/>
  <c r="U161" i="7"/>
  <c r="U137" i="7"/>
  <c r="U133" i="7"/>
  <c r="U142" i="7"/>
  <c r="U40" i="7"/>
  <c r="U156" i="6"/>
  <c r="U162" i="6"/>
  <c r="U153" i="7"/>
  <c r="U162" i="7"/>
  <c r="U49" i="7"/>
  <c r="U152" i="7"/>
  <c r="U139" i="7"/>
  <c r="U38" i="7"/>
  <c r="U130" i="6"/>
  <c r="U114" i="6"/>
  <c r="U154" i="6"/>
  <c r="U129" i="6"/>
  <c r="U52" i="7"/>
  <c r="U148" i="7"/>
  <c r="U159" i="6"/>
  <c r="U14" i="6"/>
  <c r="AG9" i="6"/>
  <c r="U147" i="6"/>
  <c r="U19" i="6"/>
  <c r="AC9" i="6"/>
  <c r="AJ9" i="6"/>
  <c r="AF9" i="6"/>
  <c r="U36" i="7"/>
  <c r="U41" i="7"/>
  <c r="T108" i="7"/>
  <c r="W108" i="7" s="1"/>
  <c r="T164" i="7"/>
  <c r="W164" i="7" s="1"/>
  <c r="T112" i="7"/>
  <c r="W112" i="7" s="1"/>
  <c r="T116" i="7"/>
  <c r="W116" i="7" s="1"/>
  <c r="T110" i="7"/>
  <c r="W110" i="7" s="1"/>
  <c r="T117" i="7"/>
  <c r="W117" i="7" s="1"/>
  <c r="T102" i="7"/>
  <c r="W102" i="7" s="1"/>
  <c r="T90" i="7"/>
  <c r="W90" i="7" s="1"/>
  <c r="T92" i="7"/>
  <c r="W92" i="7" s="1"/>
  <c r="T91" i="7"/>
  <c r="W91" i="7" s="1"/>
  <c r="AH92" i="7"/>
  <c r="T47" i="7"/>
  <c r="AI47" i="7" s="1"/>
  <c r="T46" i="7"/>
  <c r="W46" i="7" s="1"/>
  <c r="AC91" i="7"/>
  <c r="AC112" i="7"/>
  <c r="AJ92" i="7"/>
  <c r="AC92" i="7"/>
  <c r="AD92" i="7"/>
  <c r="T34" i="7"/>
  <c r="AH34" i="7" s="1"/>
  <c r="AI92" i="7"/>
  <c r="AE92" i="7"/>
  <c r="AB92" i="7"/>
  <c r="AG92" i="7"/>
  <c r="AI102" i="7"/>
  <c r="AH116" i="7"/>
  <c r="AD116" i="7"/>
  <c r="AE116" i="7"/>
  <c r="AF116" i="7"/>
  <c r="AC102" i="7"/>
  <c r="AG116" i="7"/>
  <c r="AE164" i="7"/>
  <c r="AJ164" i="7"/>
  <c r="AI9" i="6"/>
  <c r="AE9" i="6"/>
  <c r="AH9" i="6"/>
  <c r="W9" i="6"/>
  <c r="AD9" i="6"/>
  <c r="T68" i="6"/>
  <c r="W68" i="6" s="1"/>
  <c r="T137" i="6"/>
  <c r="W137" i="6" s="1"/>
  <c r="U26" i="6"/>
  <c r="T136" i="6"/>
  <c r="W136" i="6" s="1"/>
  <c r="T138" i="6"/>
  <c r="W138" i="6" s="1"/>
  <c r="T57" i="6"/>
  <c r="W57" i="6" s="1"/>
  <c r="T77" i="6"/>
  <c r="W77" i="6" s="1"/>
  <c r="T56" i="6"/>
  <c r="W56" i="6" s="1"/>
  <c r="T79" i="6"/>
  <c r="W79" i="6" s="1"/>
  <c r="T78" i="6"/>
  <c r="W78" i="6" s="1"/>
  <c r="T69" i="6"/>
  <c r="W69" i="6" s="1"/>
  <c r="T63" i="6"/>
  <c r="W63" i="6" s="1"/>
  <c r="T51" i="6"/>
  <c r="W51" i="6" s="1"/>
  <c r="T45" i="6"/>
  <c r="W45" i="6" s="1"/>
  <c r="T42" i="6"/>
  <c r="AD42" i="6" s="1"/>
  <c r="T39" i="6"/>
  <c r="W39" i="6" s="1"/>
  <c r="AE77" i="6"/>
  <c r="AD137" i="6"/>
  <c r="AJ137" i="6"/>
  <c r="AH77" i="6"/>
  <c r="AI136" i="6"/>
  <c r="AK77" i="6"/>
  <c r="AG77" i="6"/>
  <c r="AF77" i="6"/>
  <c r="AC69" i="6"/>
  <c r="AI69" i="6"/>
  <c r="AE69" i="6"/>
  <c r="AE137" i="6"/>
  <c r="AF63" i="6" l="1"/>
  <c r="AJ136" i="6"/>
  <c r="AF69" i="6"/>
  <c r="AJ77" i="6"/>
  <c r="AH69" i="6"/>
  <c r="AD69" i="6"/>
  <c r="AG136" i="6"/>
  <c r="AF136" i="6"/>
  <c r="AJ69" i="6"/>
  <c r="AC77" i="6"/>
  <c r="AG69" i="6"/>
  <c r="AG63" i="6"/>
  <c r="AH51" i="6"/>
  <c r="AC136" i="6"/>
  <c r="AH136" i="6"/>
  <c r="AE136" i="6"/>
  <c r="AE63" i="6"/>
  <c r="AH39" i="6"/>
  <c r="AJ39" i="6"/>
  <c r="AG45" i="6"/>
  <c r="AJ79" i="6"/>
  <c r="AC45" i="6"/>
  <c r="AF91" i="7"/>
  <c r="AD91" i="7"/>
  <c r="AI91" i="7"/>
  <c r="AB164" i="7"/>
  <c r="AI164" i="7"/>
  <c r="AD164" i="7"/>
  <c r="AF164" i="7"/>
  <c r="AD117" i="7"/>
  <c r="AE91" i="7"/>
  <c r="AC110" i="7"/>
  <c r="AG110" i="7"/>
  <c r="AH110" i="7"/>
  <c r="AC108" i="7"/>
  <c r="AH90" i="7"/>
  <c r="AD110" i="7"/>
  <c r="AJ90" i="7"/>
  <c r="AI79" i="6"/>
  <c r="AG68" i="6"/>
  <c r="AG39" i="6"/>
  <c r="AC79" i="6"/>
  <c r="AK39" i="6"/>
  <c r="AG79" i="6"/>
  <c r="AE39" i="6"/>
  <c r="AF79" i="6"/>
  <c r="AK79" i="6"/>
  <c r="AE79" i="6"/>
  <c r="AD46" i="7"/>
  <c r="AF42" i="6"/>
  <c r="AE112" i="7"/>
  <c r="AG91" i="7"/>
  <c r="AI112" i="7"/>
  <c r="AG102" i="7"/>
  <c r="AJ102" i="7"/>
  <c r="AJ91" i="7"/>
  <c r="AH102" i="7"/>
  <c r="AB102" i="7"/>
  <c r="AE102" i="7"/>
  <c r="AB91" i="7"/>
  <c r="AG47" i="7"/>
  <c r="AF102" i="7"/>
  <c r="AI46" i="7"/>
  <c r="AF47" i="7"/>
  <c r="AE47" i="7"/>
  <c r="AJ47" i="7"/>
  <c r="AG46" i="7"/>
  <c r="AB47" i="7"/>
  <c r="AD47" i="7"/>
  <c r="AK137" i="6"/>
  <c r="AF137" i="6"/>
  <c r="AC137" i="6"/>
  <c r="AG137" i="6"/>
  <c r="AH137" i="6"/>
  <c r="AI137" i="6"/>
  <c r="AI51" i="6"/>
  <c r="AG51" i="6"/>
  <c r="AJ51" i="6"/>
  <c r="AI42" i="6"/>
  <c r="AE51" i="6"/>
  <c r="AE57" i="6"/>
  <c r="AG57" i="6"/>
  <c r="AC51" i="6"/>
  <c r="AF51" i="6"/>
  <c r="AE42" i="6"/>
  <c r="AH42" i="6"/>
  <c r="AI68" i="6"/>
  <c r="AE68" i="6"/>
  <c r="AI45" i="6"/>
  <c r="AD45" i="6"/>
  <c r="AF39" i="6"/>
  <c r="AD39" i="6"/>
  <c r="AC39" i="6"/>
  <c r="AD77" i="6"/>
  <c r="AI77" i="6"/>
  <c r="AL77" i="6" s="1"/>
  <c r="AN77" i="6" s="1"/>
  <c r="AF110" i="7"/>
  <c r="AI110" i="7"/>
  <c r="AJ110" i="7"/>
  <c r="AB110" i="7"/>
  <c r="AE110" i="7"/>
  <c r="AB112" i="7"/>
  <c r="AG112" i="7"/>
  <c r="AD112" i="7"/>
  <c r="AH112" i="7"/>
  <c r="AF112" i="7"/>
  <c r="AJ112" i="7"/>
  <c r="AG90" i="7"/>
  <c r="AB117" i="7"/>
  <c r="AH117" i="7"/>
  <c r="AJ116" i="7"/>
  <c r="AI108" i="7"/>
  <c r="AH108" i="7"/>
  <c r="AG117" i="7"/>
  <c r="AI116" i="7"/>
  <c r="AC90" i="7"/>
  <c r="AB90" i="7"/>
  <c r="AE90" i="7"/>
  <c r="AF117" i="7"/>
  <c r="AE117" i="7"/>
  <c r="AB116" i="7"/>
  <c r="AF108" i="7"/>
  <c r="AE108" i="7"/>
  <c r="AD108" i="7"/>
  <c r="AJ108" i="7"/>
  <c r="AI90" i="7"/>
  <c r="AJ117" i="7"/>
  <c r="AI117" i="7"/>
  <c r="AC116" i="7"/>
  <c r="AB108" i="7"/>
  <c r="AD90" i="7"/>
  <c r="AG108" i="7"/>
  <c r="AF90" i="7"/>
  <c r="AJ46" i="7"/>
  <c r="AF45" i="6"/>
  <c r="AC68" i="6"/>
  <c r="AH45" i="6"/>
  <c r="AD68" i="6"/>
  <c r="AJ45" i="6"/>
  <c r="AH68" i="6"/>
  <c r="AK136" i="6"/>
  <c r="AL136" i="6" s="1"/>
  <c r="AN136" i="6" s="1"/>
  <c r="AK68" i="6"/>
  <c r="AD136" i="6"/>
  <c r="AF68" i="6"/>
  <c r="AE45" i="6"/>
  <c r="AJ68" i="6"/>
  <c r="AG56" i="6"/>
  <c r="AK138" i="6"/>
  <c r="AO9" i="6"/>
  <c r="AG138" i="6"/>
  <c r="AC56" i="6"/>
  <c r="AF56" i="6"/>
  <c r="AH56" i="6"/>
  <c r="AC138" i="6"/>
  <c r="AJ138" i="6"/>
  <c r="AL9" i="6"/>
  <c r="AN9" i="6" s="1"/>
  <c r="AK78" i="6"/>
  <c r="AD56" i="6"/>
  <c r="AF138" i="6"/>
  <c r="AE56" i="6"/>
  <c r="AK56" i="6"/>
  <c r="AJ56" i="6"/>
  <c r="AI56" i="6"/>
  <c r="AC57" i="6"/>
  <c r="AK51" i="6"/>
  <c r="AD79" i="6"/>
  <c r="AH138" i="6"/>
  <c r="AD138" i="6"/>
  <c r="AI57" i="6"/>
  <c r="AE138" i="6"/>
  <c r="AI63" i="6"/>
  <c r="AH63" i="6"/>
  <c r="AJ57" i="6"/>
  <c r="AF57" i="6"/>
  <c r="AK57" i="6"/>
  <c r="AG42" i="6"/>
  <c r="AD51" i="6"/>
  <c r="AK63" i="6"/>
  <c r="AD63" i="6"/>
  <c r="AC63" i="6"/>
  <c r="AI138" i="6"/>
  <c r="AH79" i="6"/>
  <c r="AH57" i="6"/>
  <c r="AD57" i="6"/>
  <c r="AJ63" i="6"/>
  <c r="AH91" i="7"/>
  <c r="AK91" i="7" s="1"/>
  <c r="AM91" i="7" s="1"/>
  <c r="AC42" i="6"/>
  <c r="AK42" i="6"/>
  <c r="AG34" i="7"/>
  <c r="AJ34" i="7"/>
  <c r="AG164" i="7"/>
  <c r="AC164" i="7"/>
  <c r="AH164" i="7"/>
  <c r="AC117" i="7"/>
  <c r="AD102" i="7"/>
  <c r="AF92" i="7"/>
  <c r="AN92" i="7" s="1"/>
  <c r="W47" i="7"/>
  <c r="AF34" i="7"/>
  <c r="W34" i="7"/>
  <c r="AF46" i="7"/>
  <c r="AH46" i="7"/>
  <c r="AC47" i="7"/>
  <c r="AC46" i="7"/>
  <c r="AB46" i="7"/>
  <c r="AE46" i="7"/>
  <c r="AH47" i="7"/>
  <c r="AC34" i="7"/>
  <c r="AB34" i="7"/>
  <c r="AI34" i="7"/>
  <c r="AD34" i="7"/>
  <c r="AE34" i="7"/>
  <c r="AJ78" i="6"/>
  <c r="AC78" i="6"/>
  <c r="AI78" i="6"/>
  <c r="AE78" i="6"/>
  <c r="AD78" i="6"/>
  <c r="AH78" i="6"/>
  <c r="AG78" i="6"/>
  <c r="AF78" i="6"/>
  <c r="AO77" i="6"/>
  <c r="AK69" i="6"/>
  <c r="AO69" i="6" s="1"/>
  <c r="AJ42" i="6"/>
  <c r="W42" i="6"/>
  <c r="AK45" i="6"/>
  <c r="AI39" i="6"/>
  <c r="AL79" i="6" l="1"/>
  <c r="AN79" i="6" s="1"/>
  <c r="AN102" i="7"/>
  <c r="AK102" i="7"/>
  <c r="AM102" i="7" s="1"/>
  <c r="AL39" i="6"/>
  <c r="AN39" i="6" s="1"/>
  <c r="U9" i="6"/>
  <c r="AK112" i="7"/>
  <c r="AM112" i="7" s="1"/>
  <c r="AK108" i="7"/>
  <c r="AM108" i="7" s="1"/>
  <c r="AK110" i="7"/>
  <c r="AM110" i="7" s="1"/>
  <c r="AN110" i="7"/>
  <c r="AK90" i="7"/>
  <c r="AM90" i="7" s="1"/>
  <c r="AN47" i="7"/>
  <c r="AK117" i="7"/>
  <c r="AM117" i="7" s="1"/>
  <c r="AN108" i="7"/>
  <c r="AN112" i="7"/>
  <c r="U112" i="7" s="1"/>
  <c r="AN116" i="7"/>
  <c r="AK116" i="7"/>
  <c r="AM116" i="7" s="1"/>
  <c r="AO137" i="6"/>
  <c r="AL137" i="6"/>
  <c r="AN137" i="6" s="1"/>
  <c r="AO51" i="6"/>
  <c r="AO45" i="6"/>
  <c r="AO138" i="6"/>
  <c r="AO68" i="6"/>
  <c r="AL68" i="6"/>
  <c r="AN68" i="6" s="1"/>
  <c r="AO56" i="6"/>
  <c r="AO136" i="6"/>
  <c r="U136" i="6" s="1"/>
  <c r="AN117" i="7"/>
  <c r="AN91" i="7"/>
  <c r="U91" i="7" s="1"/>
  <c r="AN90" i="7"/>
  <c r="AL56" i="6"/>
  <c r="AN56" i="6" s="1"/>
  <c r="AO63" i="6"/>
  <c r="AO42" i="6"/>
  <c r="AL63" i="6"/>
  <c r="AN63" i="6" s="1"/>
  <c r="AO79" i="6"/>
  <c r="U79" i="6" s="1"/>
  <c r="AO57" i="6"/>
  <c r="AL57" i="6"/>
  <c r="AN57" i="6" s="1"/>
  <c r="AL51" i="6"/>
  <c r="AN51" i="6" s="1"/>
  <c r="AL138" i="6"/>
  <c r="AN138" i="6" s="1"/>
  <c r="AL78" i="6"/>
  <c r="AN78" i="6" s="1"/>
  <c r="AN164" i="7"/>
  <c r="AK164" i="7"/>
  <c r="AM164" i="7" s="1"/>
  <c r="AK92" i="7"/>
  <c r="AM92" i="7" s="1"/>
  <c r="U92" i="7" s="1"/>
  <c r="AK46" i="7"/>
  <c r="AM46" i="7" s="1"/>
  <c r="AN46" i="7"/>
  <c r="AN34" i="7"/>
  <c r="AK47" i="7"/>
  <c r="AM47" i="7" s="1"/>
  <c r="AK34" i="7"/>
  <c r="AM34" i="7" s="1"/>
  <c r="AO78" i="6"/>
  <c r="AL69" i="6"/>
  <c r="AN69" i="6" s="1"/>
  <c r="U69" i="6" s="1"/>
  <c r="AL42" i="6"/>
  <c r="AN42" i="6" s="1"/>
  <c r="U77" i="6"/>
  <c r="AL45" i="6"/>
  <c r="AN45" i="6" s="1"/>
  <c r="AO39" i="6"/>
  <c r="U39" i="6" s="1"/>
  <c r="U51" i="6" l="1"/>
  <c r="U137" i="6"/>
  <c r="U110" i="7"/>
  <c r="U47" i="7"/>
  <c r="U102" i="7"/>
  <c r="U108" i="7"/>
  <c r="U90" i="7"/>
  <c r="U56" i="6"/>
  <c r="U117" i="7"/>
  <c r="U116" i="7"/>
  <c r="U68" i="6"/>
  <c r="U45" i="6"/>
  <c r="U138" i="6"/>
  <c r="U164" i="7"/>
  <c r="U42" i="6"/>
  <c r="U57" i="6"/>
  <c r="U63" i="6"/>
  <c r="U78" i="6"/>
  <c r="U46" i="7"/>
  <c r="U34" i="7"/>
</calcChain>
</file>

<file path=xl/sharedStrings.xml><?xml version="1.0" encoding="utf-8"?>
<sst xmlns="http://schemas.openxmlformats.org/spreadsheetml/2006/main" count="2756" uniqueCount="695">
  <si>
    <t>NOM - Prénom</t>
  </si>
  <si>
    <t>P.C.</t>
  </si>
  <si>
    <t>TOTAL</t>
  </si>
  <si>
    <t>Serie</t>
  </si>
  <si>
    <t>IWF</t>
  </si>
  <si>
    <t>NAT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</si>
  <si>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</si>
  <si>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</si>
  <si>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</si>
  <si>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</si>
  <si>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</si>
  <si>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</si>
  <si>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</si>
  <si>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</si>
  <si>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</si>
  <si>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</si>
  <si>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</si>
  <si>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</si>
  <si>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</si>
  <si>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</si>
  <si>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</si>
  <si>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</si>
  <si>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</si>
  <si>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</si>
  <si>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</si>
  <si>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</si>
  <si>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</si>
  <si>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</si>
  <si>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</si>
  <si>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C1 45</t>
  </si>
  <si>
    <t>C1 50</t>
  </si>
  <si>
    <t>C1 56</t>
  </si>
  <si>
    <t>C1 62</t>
  </si>
  <si>
    <t>C1 69</t>
  </si>
  <si>
    <t>C1 77</t>
  </si>
  <si>
    <t>C1 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</si>
  <si>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</si>
  <si>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</si>
  <si>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</si>
  <si>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</si>
  <si>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</si>
  <si>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</si>
  <si>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</si>
  <si>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</si>
  <si>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</si>
  <si>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</si>
  <si>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</si>
  <si>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</si>
  <si>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</si>
  <si>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</si>
  <si>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</si>
  <si>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</si>
  <si>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</si>
  <si>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</si>
  <si>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</si>
  <si>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</si>
  <si>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</si>
  <si>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</si>
  <si>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</si>
  <si>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</si>
  <si>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</si>
  <si>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</si>
  <si>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</si>
  <si>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</si>
  <si>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</si>
  <si>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</si>
  <si>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</si>
  <si>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</si>
  <si>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</si>
  <si>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</si>
  <si>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</si>
  <si>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</si>
  <si>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</si>
  <si>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</si>
  <si>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</si>
  <si>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</si>
  <si>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</si>
  <si>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</si>
  <si>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</si>
  <si>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</si>
  <si>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</si>
  <si>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</si>
  <si>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</si>
  <si>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</si>
  <si>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</si>
  <si>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</si>
  <si>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</si>
  <si>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FJ 48</t>
  </si>
  <si>
    <t>FJ 53</t>
  </si>
  <si>
    <t>FJ 58</t>
  </si>
  <si>
    <t>FJ 63</t>
  </si>
  <si>
    <t>FJ 69</t>
  </si>
  <si>
    <t>FJ 75</t>
  </si>
  <si>
    <t>FS 48</t>
  </si>
  <si>
    <t>FS 53</t>
  </si>
  <si>
    <t>FS 58</t>
  </si>
  <si>
    <t>FS 63</t>
  </si>
  <si>
    <t>FS 69</t>
  </si>
  <si>
    <t>FS 75</t>
  </si>
  <si>
    <t>C1 +85</t>
  </si>
  <si>
    <t>FS 90</t>
  </si>
  <si>
    <t>FS +90</t>
  </si>
  <si>
    <t>FJ 90</t>
  </si>
  <si>
    <t>FJ +90</t>
  </si>
  <si>
    <t>FC2 75</t>
  </si>
  <si>
    <t>FC2 +75</t>
  </si>
  <si>
    <t>DPT +</t>
  </si>
  <si>
    <t>DEB</t>
  </si>
  <si>
    <t>F</t>
  </si>
  <si>
    <t>FEMININES</t>
  </si>
  <si>
    <t>MASCULINS</t>
  </si>
  <si>
    <t>LISTING NATIONAL     CA - JU - SE</t>
  </si>
  <si>
    <t>CADETTES 1</t>
  </si>
  <si>
    <t>CADETTES 2</t>
  </si>
  <si>
    <t>JUNIORES</t>
  </si>
  <si>
    <t>SENIORES</t>
  </si>
  <si>
    <t>CADETS 2</t>
  </si>
  <si>
    <t>JUNIORS</t>
  </si>
  <si>
    <t>SENIORS</t>
  </si>
  <si>
    <t>ASPTT Strasbourg</t>
  </si>
  <si>
    <t>HDF</t>
  </si>
  <si>
    <t>PACA</t>
  </si>
  <si>
    <t>AURA</t>
  </si>
  <si>
    <t>GE</t>
  </si>
  <si>
    <t>IDF</t>
  </si>
  <si>
    <t>BFC</t>
  </si>
  <si>
    <t>-</t>
  </si>
  <si>
    <t>SR Obernai HM</t>
  </si>
  <si>
    <t>NAQ</t>
  </si>
  <si>
    <t>CVL</t>
  </si>
  <si>
    <t>CADETS 1</t>
  </si>
  <si>
    <t>ELIM.   DEPART.</t>
  </si>
  <si>
    <t>Charlotte</t>
  </si>
  <si>
    <t>La Ferté Milon CMHM</t>
  </si>
  <si>
    <t>REU</t>
  </si>
  <si>
    <t>Villers Bretonneux KC</t>
  </si>
  <si>
    <t>SHC Haguenau</t>
  </si>
  <si>
    <t>CA Rosendael</t>
  </si>
  <si>
    <t>PDL</t>
  </si>
  <si>
    <t>Dorlisheim FH</t>
  </si>
  <si>
    <t xml:space="preserve"> -</t>
  </si>
  <si>
    <t>CHCD Comines</t>
  </si>
  <si>
    <t>Langres HM</t>
  </si>
  <si>
    <t>COGNON</t>
  </si>
  <si>
    <t>Reims HM</t>
  </si>
  <si>
    <t>BONNAMANT</t>
  </si>
  <si>
    <t>CLEMENT</t>
  </si>
  <si>
    <t>CHC Lille</t>
  </si>
  <si>
    <t>CASTELLANI</t>
  </si>
  <si>
    <t>HUGONNIER</t>
  </si>
  <si>
    <t>MIRESSI</t>
  </si>
  <si>
    <t>CMHM St Pol sur Mer</t>
  </si>
  <si>
    <t>DERSIGNY</t>
  </si>
  <si>
    <t>Clara</t>
  </si>
  <si>
    <t>MAAFI</t>
  </si>
  <si>
    <t>Meissane</t>
  </si>
  <si>
    <t>GANGLOFF</t>
  </si>
  <si>
    <t>LUCIE</t>
  </si>
  <si>
    <t>ASI Avenir HM</t>
  </si>
  <si>
    <t>ESTEVES</t>
  </si>
  <si>
    <t>Laura</t>
  </si>
  <si>
    <t>KHERRAF</t>
  </si>
  <si>
    <t>FREVILLE</t>
  </si>
  <si>
    <t>MANINA</t>
  </si>
  <si>
    <t>AIGLE</t>
  </si>
  <si>
    <t>RAYBAUD</t>
  </si>
  <si>
    <t>Camille</t>
  </si>
  <si>
    <t>MANDIGON</t>
  </si>
  <si>
    <t>RAILLON</t>
  </si>
  <si>
    <t>GIANETTI</t>
  </si>
  <si>
    <t>GAUJARD</t>
  </si>
  <si>
    <t>Marine</t>
  </si>
  <si>
    <t>PATRY LECLAIRE</t>
  </si>
  <si>
    <t>Chloe</t>
  </si>
  <si>
    <t>LEBON</t>
  </si>
  <si>
    <t>Vanessa</t>
  </si>
  <si>
    <t>La Vaillante St Quentin</t>
  </si>
  <si>
    <t>ALCANIZ PLAZA</t>
  </si>
  <si>
    <t>MABIT</t>
  </si>
  <si>
    <t>Sandrine</t>
  </si>
  <si>
    <t>TOUCHARD</t>
  </si>
  <si>
    <t>Mylene</t>
  </si>
  <si>
    <t>TAGODOE</t>
  </si>
  <si>
    <t>LUCAS</t>
  </si>
  <si>
    <t>ARANJO</t>
  </si>
  <si>
    <t>Caroline</t>
  </si>
  <si>
    <t>DOMERGUE</t>
  </si>
  <si>
    <t>Cécile</t>
  </si>
  <si>
    <t>PASTOR</t>
  </si>
  <si>
    <t>BRE</t>
  </si>
  <si>
    <t>TROUDET</t>
  </si>
  <si>
    <t>ERNE</t>
  </si>
  <si>
    <t>SUI</t>
  </si>
  <si>
    <t>BRUGNEAUX</t>
  </si>
  <si>
    <t>HERRMANN</t>
  </si>
  <si>
    <t>BERLAND</t>
  </si>
  <si>
    <t>FONTANA-DUCHARNE</t>
  </si>
  <si>
    <t>MARDIN</t>
  </si>
  <si>
    <t>ROUZE</t>
  </si>
  <si>
    <t>GILLET</t>
  </si>
  <si>
    <t>CONDE</t>
  </si>
  <si>
    <t>PASTA</t>
  </si>
  <si>
    <t>VORSTER</t>
  </si>
  <si>
    <t>AFS</t>
  </si>
  <si>
    <t xml:space="preserve">DEBIAIS </t>
  </si>
  <si>
    <t>LE MALEFANT</t>
  </si>
  <si>
    <t>Samantha</t>
  </si>
  <si>
    <t>SOUCHU</t>
  </si>
  <si>
    <t>PISAN</t>
  </si>
  <si>
    <t>Marie</t>
  </si>
  <si>
    <t>RONCO</t>
  </si>
  <si>
    <t>CERDAN</t>
  </si>
  <si>
    <t>US Wittenheim</t>
  </si>
  <si>
    <t>DUBOIS</t>
  </si>
  <si>
    <t>LEIBUNDGUTH</t>
  </si>
  <si>
    <t>DELPUECH</t>
  </si>
  <si>
    <t>Anaïs</t>
  </si>
  <si>
    <t>TITTEL MOSSER</t>
  </si>
  <si>
    <t>CRISTOFOLI</t>
  </si>
  <si>
    <t>HEBRARD</t>
  </si>
  <si>
    <t>PROUET</t>
  </si>
  <si>
    <t>DRENO</t>
  </si>
  <si>
    <t>DUCHAUFFOUR</t>
  </si>
  <si>
    <t>H Valleroy Auboué</t>
  </si>
  <si>
    <t>LAMY</t>
  </si>
  <si>
    <t>JEHL</t>
  </si>
  <si>
    <t>HCA Selestat</t>
  </si>
  <si>
    <t>RICHARD</t>
  </si>
  <si>
    <t>CADIEU</t>
  </si>
  <si>
    <t>MELAO</t>
  </si>
  <si>
    <t>PARANTHOEN</t>
  </si>
  <si>
    <t>Jason</t>
  </si>
  <si>
    <t xml:space="preserve">FREYLING </t>
  </si>
  <si>
    <t xml:space="preserve">Mathieu </t>
  </si>
  <si>
    <t>MATS</t>
  </si>
  <si>
    <t>Cédric</t>
  </si>
  <si>
    <t>KERDAL</t>
  </si>
  <si>
    <t>BELHADJHASSINE</t>
  </si>
  <si>
    <t>Mohamed</t>
  </si>
  <si>
    <t>ES Laneuvevilloise</t>
  </si>
  <si>
    <t>BACHEROT</t>
  </si>
  <si>
    <t>MARKA</t>
  </si>
  <si>
    <t>LEBÉE</t>
  </si>
  <si>
    <t>Clément</t>
  </si>
  <si>
    <t>BUYSSCHAERT</t>
  </si>
  <si>
    <t>Eliott</t>
  </si>
  <si>
    <t>CISSOKO</t>
  </si>
  <si>
    <t>LE RUYET</t>
  </si>
  <si>
    <t>AMAZOUZ</t>
  </si>
  <si>
    <t>OSM Lomme</t>
  </si>
  <si>
    <t>MULLER</t>
  </si>
  <si>
    <t>KOSTANYAN</t>
  </si>
  <si>
    <t>DELAPLACE</t>
  </si>
  <si>
    <t xml:space="preserve">LE SQUERN </t>
  </si>
  <si>
    <t>Gireg</t>
  </si>
  <si>
    <t>NOT</t>
  </si>
  <si>
    <t>FOLCHER</t>
  </si>
  <si>
    <t>GUILHEM</t>
  </si>
  <si>
    <t>RICHET</t>
  </si>
  <si>
    <t>LEBLOND</t>
  </si>
  <si>
    <t>Aymeric</t>
  </si>
  <si>
    <t>FRANCHOIS</t>
  </si>
  <si>
    <t>Kévin</t>
  </si>
  <si>
    <t>SCHMIDT</t>
  </si>
  <si>
    <t>CH Colmar</t>
  </si>
  <si>
    <t>CARLIER</t>
  </si>
  <si>
    <t>DUMAS</t>
  </si>
  <si>
    <t>TANQUEREL</t>
  </si>
  <si>
    <t>Antoine</t>
  </si>
  <si>
    <t>PAPEGAY</t>
  </si>
  <si>
    <t>Florian</t>
  </si>
  <si>
    <t>JEGAN</t>
  </si>
  <si>
    <t>Gabriel</t>
  </si>
  <si>
    <t>WITTMANN</t>
  </si>
  <si>
    <t>JEROME</t>
  </si>
  <si>
    <t>LOICHOT</t>
  </si>
  <si>
    <t>COISNARD</t>
  </si>
  <si>
    <t>REMBAUVILLE</t>
  </si>
  <si>
    <t>Paul</t>
  </si>
  <si>
    <t>OMAR</t>
  </si>
  <si>
    <t>ZAHNER</t>
  </si>
  <si>
    <t>Jonathan</t>
  </si>
  <si>
    <t>BERAL</t>
  </si>
  <si>
    <t>Sébastien</t>
  </si>
  <si>
    <t>ALEXANDRE</t>
  </si>
  <si>
    <t>Tony</t>
  </si>
  <si>
    <t>HASONA</t>
  </si>
  <si>
    <t>EGY</t>
  </si>
  <si>
    <t>DJASSIDJI</t>
  </si>
  <si>
    <t>Willy</t>
  </si>
  <si>
    <t>CHAVRY</t>
  </si>
  <si>
    <t>Dylan</t>
  </si>
  <si>
    <t>RUOLT</t>
  </si>
  <si>
    <t>MJC Ungersheim</t>
  </si>
  <si>
    <t>RIGOULET</t>
  </si>
  <si>
    <t>Pierre François</t>
  </si>
  <si>
    <t>BENHAMOU</t>
  </si>
  <si>
    <t>BEQUET</t>
  </si>
  <si>
    <t>CHAVINIER</t>
  </si>
  <si>
    <t>LE GALL</t>
  </si>
  <si>
    <t>Jean-Baptiste</t>
  </si>
  <si>
    <t>LAPOSTOLLE</t>
  </si>
  <si>
    <t>David</t>
  </si>
  <si>
    <t>CACH Berck sur Mer</t>
  </si>
  <si>
    <t>KARACA</t>
  </si>
  <si>
    <t>MONIER</t>
  </si>
  <si>
    <t>Bruno</t>
  </si>
  <si>
    <t>OL Grande-Synthe</t>
  </si>
  <si>
    <t>PIGNOUX</t>
  </si>
  <si>
    <t>BOFFY</t>
  </si>
  <si>
    <t>OURIZAT</t>
  </si>
  <si>
    <t>Mehdi</t>
  </si>
  <si>
    <t>ASPTT Lille Métropole</t>
  </si>
  <si>
    <t>Compétition</t>
  </si>
  <si>
    <t>OCC</t>
  </si>
  <si>
    <t>VALDENAIRE</t>
  </si>
  <si>
    <t>Lilou</t>
  </si>
  <si>
    <t>SEURAT</t>
  </si>
  <si>
    <t>Lou</t>
  </si>
  <si>
    <t>ELIM.  PROVINCE</t>
  </si>
  <si>
    <t>DEFRETIN</t>
  </si>
  <si>
    <t>Crossfit Cenabum</t>
  </si>
  <si>
    <t>LE HUU</t>
  </si>
  <si>
    <t>Juliette</t>
  </si>
  <si>
    <t>GUA</t>
  </si>
  <si>
    <t>RELIMIEN</t>
  </si>
  <si>
    <t>ZIANE</t>
  </si>
  <si>
    <t>St Quentin Fallavier</t>
  </si>
  <si>
    <t>QUERE</t>
  </si>
  <si>
    <t>Romane</t>
  </si>
  <si>
    <t>Alexandra</t>
  </si>
  <si>
    <t>Aysé</t>
  </si>
  <si>
    <t>SCH Amiens Métropole</t>
  </si>
  <si>
    <t>TUR</t>
  </si>
  <si>
    <t>ABRIL</t>
  </si>
  <si>
    <t>Manon</t>
  </si>
  <si>
    <t>FEILLARD</t>
  </si>
  <si>
    <t>TAILLASSON</t>
  </si>
  <si>
    <t>GOUDE</t>
  </si>
  <si>
    <t>Zoe</t>
  </si>
  <si>
    <t>MPY</t>
  </si>
  <si>
    <t>BONNASSIÉ</t>
  </si>
  <si>
    <t>SERVAIS</t>
  </si>
  <si>
    <t>Julie</t>
  </si>
  <si>
    <t>Bel</t>
  </si>
  <si>
    <t>JOURNET</t>
  </si>
  <si>
    <t>TRAN</t>
  </si>
  <si>
    <t>VATRY</t>
  </si>
  <si>
    <t>Aurore</t>
  </si>
  <si>
    <t>Crossfit Serval</t>
  </si>
  <si>
    <t xml:space="preserve">DI PAOLA </t>
  </si>
  <si>
    <t>DUPEYROUX</t>
  </si>
  <si>
    <t>Elise</t>
  </si>
  <si>
    <t>FERRARI</t>
  </si>
  <si>
    <t>Elodie</t>
  </si>
  <si>
    <t>Istres sports</t>
  </si>
  <si>
    <t>GARGAGLI</t>
  </si>
  <si>
    <t>DESANDRE NAVARE</t>
  </si>
  <si>
    <t>WEINLAND</t>
  </si>
  <si>
    <t>Olna</t>
  </si>
  <si>
    <t>GENIN</t>
  </si>
  <si>
    <t>ALZIARI</t>
  </si>
  <si>
    <t>Yolaine</t>
  </si>
  <si>
    <t>COURSET</t>
  </si>
  <si>
    <t>Amandine</t>
  </si>
  <si>
    <t>PETIT</t>
  </si>
  <si>
    <t>DUROT</t>
  </si>
  <si>
    <t>ATTIA</t>
  </si>
  <si>
    <t>Severine</t>
  </si>
  <si>
    <t>JACQUET</t>
  </si>
  <si>
    <t>COMBELLES</t>
  </si>
  <si>
    <t>GOMIS</t>
  </si>
  <si>
    <t>Clarisse</t>
  </si>
  <si>
    <t>Emmanuelle</t>
  </si>
  <si>
    <t>BOUKERROU</t>
  </si>
  <si>
    <t>CM Orléans</t>
  </si>
  <si>
    <t>BEHLOW</t>
  </si>
  <si>
    <t>ANDREANI</t>
  </si>
  <si>
    <t>GUION</t>
  </si>
  <si>
    <t>Anne-Soizic</t>
  </si>
  <si>
    <t>DE BARROS</t>
  </si>
  <si>
    <t>Fabio</t>
  </si>
  <si>
    <t>GAMON</t>
  </si>
  <si>
    <t>HC Pointe à Pitre 971</t>
  </si>
  <si>
    <t>CHABERT</t>
  </si>
  <si>
    <t>St-Etienne</t>
  </si>
  <si>
    <t>GROSJEAN</t>
  </si>
  <si>
    <t>Alexandre</t>
  </si>
  <si>
    <t>HOVHANNISYAN</t>
  </si>
  <si>
    <t>Vazgen</t>
  </si>
  <si>
    <t>CH Poitiers</t>
  </si>
  <si>
    <t>LINAIS</t>
  </si>
  <si>
    <t>VADAM</t>
  </si>
  <si>
    <t>Yvan</t>
  </si>
  <si>
    <t>GUINDOS</t>
  </si>
  <si>
    <t>Téo</t>
  </si>
  <si>
    <t>BOULANGER</t>
  </si>
  <si>
    <t>Christopher</t>
  </si>
  <si>
    <t>THAN</t>
  </si>
  <si>
    <t>ROHRBACH</t>
  </si>
  <si>
    <t xml:space="preserve">MELLIER </t>
  </si>
  <si>
    <t>Damien</t>
  </si>
  <si>
    <t>Marc</t>
  </si>
  <si>
    <t>BUCHWALTER</t>
  </si>
  <si>
    <t>--</t>
  </si>
  <si>
    <t>CREVOISIER</t>
  </si>
  <si>
    <t>Lucien</t>
  </si>
  <si>
    <t>CREUX</t>
  </si>
  <si>
    <t>JULLIEN</t>
  </si>
  <si>
    <t>SERRE</t>
  </si>
  <si>
    <t>LEDUC</t>
  </si>
  <si>
    <t>DESMARES DECAUX</t>
  </si>
  <si>
    <t>Lény</t>
  </si>
  <si>
    <t>Stade Saint-Lois</t>
  </si>
  <si>
    <t>ROUYER</t>
  </si>
  <si>
    <t>LAUGIER</t>
  </si>
  <si>
    <t>EEAR Monteux</t>
  </si>
  <si>
    <t>LOUMAGNE</t>
  </si>
  <si>
    <t xml:space="preserve">HASSAINE </t>
  </si>
  <si>
    <t>CASPAR</t>
  </si>
  <si>
    <t>SIMMONS</t>
  </si>
  <si>
    <t>GB</t>
  </si>
  <si>
    <t>TOUMI BRADLEY</t>
  </si>
  <si>
    <t>CrossFit Serval</t>
  </si>
  <si>
    <t>PRONI</t>
  </si>
  <si>
    <t>SC Fameck</t>
  </si>
  <si>
    <t>ALB</t>
  </si>
  <si>
    <t>SCHACHERER</t>
  </si>
  <si>
    <t>BOYER</t>
  </si>
  <si>
    <t>Nicolas</t>
  </si>
  <si>
    <t>CHC Mondragon</t>
  </si>
  <si>
    <t>JANKOVITS</t>
  </si>
  <si>
    <t>NCL</t>
  </si>
  <si>
    <t>IDJAN</t>
  </si>
  <si>
    <t>Jessica</t>
  </si>
  <si>
    <t>DAVER</t>
  </si>
  <si>
    <t>Damian</t>
  </si>
  <si>
    <t xml:space="preserve">MAFUTUNA </t>
  </si>
  <si>
    <t>Qualifié au France dans une autre catégorie</t>
  </si>
  <si>
    <t>ATTENTION : la participation au PRIX FEDERAL annule toutes sélections antérieures aux France 2018</t>
  </si>
  <si>
    <t>LESSERTEUR</t>
  </si>
  <si>
    <t>ELIM.  LIGUES</t>
  </si>
  <si>
    <t>LALAU</t>
  </si>
  <si>
    <t>Alaïs</t>
  </si>
  <si>
    <t>ETIENNE</t>
  </si>
  <si>
    <t>CHM Châteauroux</t>
  </si>
  <si>
    <t>SCHAEFFER</t>
  </si>
  <si>
    <t>BERNARD</t>
  </si>
  <si>
    <t xml:space="preserve">Clémence </t>
  </si>
  <si>
    <t xml:space="preserve">IS Montluçonnais </t>
  </si>
  <si>
    <t>PULCINA</t>
  </si>
  <si>
    <t>BOUDRAHEM</t>
  </si>
  <si>
    <t>Inés</t>
  </si>
  <si>
    <t>MONTANDON</t>
  </si>
  <si>
    <t>ROUCH</t>
  </si>
  <si>
    <t>MAZOUZ</t>
  </si>
  <si>
    <t>Sophie</t>
  </si>
  <si>
    <t>MAZEAU</t>
  </si>
  <si>
    <t>BARRERE</t>
  </si>
  <si>
    <t>Haltéro Force Paloise</t>
  </si>
  <si>
    <t>TESSIER</t>
  </si>
  <si>
    <t>Audrey</t>
  </si>
  <si>
    <t>GIRARD</t>
  </si>
  <si>
    <t>DEGRAVE</t>
  </si>
  <si>
    <t>Pauline</t>
  </si>
  <si>
    <t>MANAC'H</t>
  </si>
  <si>
    <t>SELAR</t>
  </si>
  <si>
    <t>Varinia</t>
  </si>
  <si>
    <t>CH Arbresle</t>
  </si>
  <si>
    <t>FERREIRA ESTEVES</t>
  </si>
  <si>
    <t>Por</t>
  </si>
  <si>
    <t>US Tours</t>
  </si>
  <si>
    <t>JANISZEWSKI</t>
  </si>
  <si>
    <t>Marie Juliette</t>
  </si>
  <si>
    <t>Stade Montois</t>
  </si>
  <si>
    <t>RAHARISOA</t>
  </si>
  <si>
    <t>Karen</t>
  </si>
  <si>
    <t>DEKEISTER</t>
  </si>
  <si>
    <t>MERABET</t>
  </si>
  <si>
    <t>ALINANT</t>
  </si>
  <si>
    <t>CLOAREC</t>
  </si>
  <si>
    <t>HEAFALA</t>
  </si>
  <si>
    <t>Jonah</t>
  </si>
  <si>
    <t>St Marcellin</t>
  </si>
  <si>
    <t>BEVIERRE</t>
  </si>
  <si>
    <t>Theo</t>
  </si>
  <si>
    <t>Tristan</t>
  </si>
  <si>
    <t>RODRIGUES</t>
  </si>
  <si>
    <t>Axel</t>
  </si>
  <si>
    <t>La Naoude Parempuyre</t>
  </si>
  <si>
    <t>CAPEL</t>
  </si>
  <si>
    <t>MONTARDIER</t>
  </si>
  <si>
    <t>HAVET</t>
  </si>
  <si>
    <t>TIRARD</t>
  </si>
  <si>
    <t>Joan</t>
  </si>
  <si>
    <t>BEGHAIN</t>
  </si>
  <si>
    <t>Flavien</t>
  </si>
  <si>
    <t>Samy</t>
  </si>
  <si>
    <t>EA St Médard</t>
  </si>
  <si>
    <t xml:space="preserve">TIEN YUNG SONG </t>
  </si>
  <si>
    <t>Jean marc</t>
  </si>
  <si>
    <t>HOELLE</t>
  </si>
  <si>
    <t>Alexis</t>
  </si>
  <si>
    <t xml:space="preserve"> 367032</t>
  </si>
  <si>
    <t>MENDES</t>
  </si>
  <si>
    <t>Joshua</t>
  </si>
  <si>
    <t>ARBOGAST</t>
  </si>
  <si>
    <t>CS Brumath</t>
  </si>
  <si>
    <t>SPERKA</t>
  </si>
  <si>
    <t>Sacha</t>
  </si>
  <si>
    <t>POTENZA</t>
  </si>
  <si>
    <t>RASCLE</t>
  </si>
  <si>
    <t>VENERI</t>
  </si>
  <si>
    <t>Senlis Ligne &amp; Forme</t>
  </si>
  <si>
    <t>MULLOR</t>
  </si>
  <si>
    <t>ANGOT</t>
  </si>
  <si>
    <t>HORAITIS</t>
  </si>
  <si>
    <t>Dimitri</t>
  </si>
  <si>
    <t>USSEGLIO</t>
  </si>
  <si>
    <t>Julien</t>
  </si>
  <si>
    <t>GVOZDENOVIC</t>
  </si>
  <si>
    <t>AYMONIN</t>
  </si>
  <si>
    <t>Franck</t>
  </si>
  <si>
    <t>LISTE DES QUALIFIEES AU PRIX FEDERAL 2018</t>
  </si>
  <si>
    <t>LISTE DES QUALIFIES AU PRIX FEDERAL 2018</t>
  </si>
  <si>
    <t>NIE</t>
  </si>
  <si>
    <t>Lucas</t>
  </si>
  <si>
    <t>Jeremy</t>
  </si>
  <si>
    <t>Yannick</t>
  </si>
  <si>
    <t>Korey</t>
  </si>
  <si>
    <t>Clement</t>
  </si>
  <si>
    <t>Anthony</t>
  </si>
  <si>
    <t>Eden</t>
  </si>
  <si>
    <t>Arthur</t>
  </si>
  <si>
    <t>Corentin</t>
  </si>
  <si>
    <t>Antonin</t>
  </si>
  <si>
    <t>Bastien</t>
  </si>
  <si>
    <t>CHM Plouhinec</t>
  </si>
  <si>
    <t>CH Luxovien</t>
  </si>
  <si>
    <t>SCHM Saint Paul</t>
  </si>
  <si>
    <t>Kylian</t>
  </si>
  <si>
    <t>CJF Laval / Voutre</t>
  </si>
  <si>
    <t>CA Evron 53</t>
  </si>
  <si>
    <t>Rueil AC</t>
  </si>
  <si>
    <t>AFHMA Franconville</t>
  </si>
  <si>
    <t>ASLDD Toulon</t>
  </si>
  <si>
    <t>AC Vannes</t>
  </si>
  <si>
    <t>HC Figeac</t>
  </si>
  <si>
    <t>HM Sainte Tulle</t>
  </si>
  <si>
    <t>AL Quimper</t>
  </si>
  <si>
    <t>CSPJ St Denis</t>
  </si>
  <si>
    <t>LF Besançon</t>
  </si>
  <si>
    <t>VGA Saint Maur</t>
  </si>
  <si>
    <t>C.A. Lorient</t>
  </si>
  <si>
    <t>AO Sallaumines</t>
  </si>
  <si>
    <t>CH Luxeuil</t>
  </si>
  <si>
    <t>ASPTT Draguignan</t>
  </si>
  <si>
    <t>Toulouse HC</t>
  </si>
  <si>
    <t>Fitness ES St Ave</t>
  </si>
  <si>
    <t>ASLDD Toilon</t>
  </si>
  <si>
    <t>AC St Marcellin</t>
  </si>
  <si>
    <t xml:space="preserve">ES Villeneuve Loubet </t>
  </si>
  <si>
    <t>ARM</t>
  </si>
  <si>
    <t>Valence H</t>
  </si>
  <si>
    <t>CU Tarbes Pau Haltero</t>
  </si>
  <si>
    <t>Stade St Lois</t>
  </si>
  <si>
    <t>Clermont Sports</t>
  </si>
  <si>
    <t>Caen CHM</t>
  </si>
  <si>
    <t>Team La Fotnaise</t>
  </si>
  <si>
    <t>I H Mont Dore</t>
  </si>
  <si>
    <t>SC Neuilly</t>
  </si>
  <si>
    <t>Les Oursons Tarbais</t>
  </si>
  <si>
    <t>CHM Plouhinec PR</t>
  </si>
  <si>
    <t>IS Montluconnais</t>
  </si>
  <si>
    <t>US Merto Paris</t>
  </si>
  <si>
    <t>HC Mont Dore</t>
  </si>
  <si>
    <t>HC Pleurtuit</t>
  </si>
  <si>
    <t>GPF - 25 / 03 / 18</t>
  </si>
  <si>
    <t>HMDB 21 Dijon</t>
  </si>
  <si>
    <t>Lea</t>
  </si>
  <si>
    <t>Eline</t>
  </si>
  <si>
    <t>Lucie</t>
  </si>
  <si>
    <t>Tessy</t>
  </si>
  <si>
    <t>HC Avallon MFAC</t>
  </si>
  <si>
    <t>CHM Plouhinec PDR</t>
  </si>
  <si>
    <t>ASPTT Draguibnan</t>
  </si>
  <si>
    <t>La Gauloise de Vaise</t>
  </si>
  <si>
    <t>Massilia Barbell Club</t>
  </si>
  <si>
    <t>Oveny Training St Fr</t>
  </si>
  <si>
    <t>Crossfit La Roche / Yon</t>
  </si>
  <si>
    <t>7.2 Crossfit Le Mans</t>
  </si>
  <si>
    <t>Frontignan AC</t>
  </si>
  <si>
    <t>Melanie</t>
  </si>
  <si>
    <t>Morgane</t>
  </si>
  <si>
    <t>Hind</t>
  </si>
  <si>
    <t>Mathilde</t>
  </si>
  <si>
    <t>Charlie</t>
  </si>
  <si>
    <t>Carla</t>
  </si>
  <si>
    <t>Iona</t>
  </si>
  <si>
    <t>Elena</t>
  </si>
  <si>
    <t>Emilie</t>
  </si>
  <si>
    <t>Tamara</t>
  </si>
  <si>
    <t>Océane</t>
  </si>
  <si>
    <t>Margot</t>
  </si>
  <si>
    <t>CM Orleans</t>
  </si>
  <si>
    <t>ST Herblain HM</t>
  </si>
  <si>
    <t>Colomiers WL</t>
  </si>
  <si>
    <t xml:space="preserve">CH Du Tampon </t>
  </si>
  <si>
    <t>Blanc Mesnil Sport</t>
  </si>
  <si>
    <t>Crossfit CHTX</t>
  </si>
  <si>
    <t>EA St Medard</t>
  </si>
  <si>
    <t>HC Frejus</t>
  </si>
  <si>
    <t>Crossfit BEZIERS</t>
  </si>
  <si>
    <t>HM Ste Tulle</t>
  </si>
  <si>
    <t>CH Vaulx En Velin</t>
  </si>
  <si>
    <t>AAJ Blois</t>
  </si>
  <si>
    <t>HCVM Chelles</t>
  </si>
  <si>
    <t>SGT Angers</t>
  </si>
  <si>
    <t>AS Monaco</t>
  </si>
  <si>
    <t>Istres Sports</t>
  </si>
  <si>
    <t>Cachan HM</t>
  </si>
  <si>
    <t>Crossfit Electron</t>
  </si>
  <si>
    <t>AAF Pau</t>
  </si>
  <si>
    <t>ASHM Giberville</t>
  </si>
  <si>
    <t>Colomiers Weightlifting</t>
  </si>
  <si>
    <t>CHM Aurillac</t>
  </si>
  <si>
    <t>Crossfit St Pierre</t>
  </si>
  <si>
    <t>Crossfit brest</t>
  </si>
  <si>
    <t>CHM Chaville</t>
  </si>
  <si>
    <t>Blandine</t>
  </si>
  <si>
    <t>Maeva</t>
  </si>
  <si>
    <t>Aurelie</t>
  </si>
  <si>
    <t>Olivia</t>
  </si>
  <si>
    <t>Irene</t>
  </si>
  <si>
    <t>Marie-Solange</t>
  </si>
  <si>
    <t>Megane</t>
  </si>
  <si>
    <t>Thanh-Lan</t>
  </si>
  <si>
    <t>Charlene</t>
  </si>
  <si>
    <t>Celia</t>
  </si>
  <si>
    <t>Lucile</t>
  </si>
  <si>
    <t>Annabelle</t>
  </si>
  <si>
    <t>Ysatis</t>
  </si>
  <si>
    <t>Muriel</t>
  </si>
  <si>
    <t>Melissa</t>
  </si>
  <si>
    <t>Marcia</t>
  </si>
  <si>
    <t>Marie-Camille</t>
  </si>
  <si>
    <t>Evelyn</t>
  </si>
  <si>
    <t>Adeline</t>
  </si>
  <si>
    <t>Fabienne</t>
  </si>
  <si>
    <t>Jennifer</t>
  </si>
  <si>
    <t>Virginie</t>
  </si>
  <si>
    <t>Joanna</t>
  </si>
  <si>
    <t>laetitia</t>
  </si>
  <si>
    <t>Pascale</t>
  </si>
  <si>
    <t>Sonia</t>
  </si>
  <si>
    <t>Melody</t>
  </si>
  <si>
    <t>Lindsay</t>
  </si>
  <si>
    <t>Lisa</t>
  </si>
  <si>
    <t>Estelle</t>
  </si>
  <si>
    <t>Eva</t>
  </si>
  <si>
    <t>SENIORES - Suite</t>
  </si>
  <si>
    <t>Yannis</t>
  </si>
  <si>
    <t>Erwann</t>
  </si>
  <si>
    <t>Vincent</t>
  </si>
  <si>
    <t>Romain</t>
  </si>
  <si>
    <t>John</t>
  </si>
  <si>
    <t>Stephane</t>
  </si>
  <si>
    <t>Yves Olivier</t>
  </si>
  <si>
    <t>Virab</t>
  </si>
  <si>
    <t>Quentin</t>
  </si>
  <si>
    <t>Jordan</t>
  </si>
  <si>
    <t>Guilhem</t>
  </si>
  <si>
    <t>Benoit</t>
  </si>
  <si>
    <t>Jean</t>
  </si>
  <si>
    <t>Morgan</t>
  </si>
  <si>
    <t>Geremy</t>
  </si>
  <si>
    <t>Malcolm</t>
  </si>
  <si>
    <t>Kory</t>
  </si>
  <si>
    <t>Jerome</t>
  </si>
  <si>
    <t>Thaya</t>
  </si>
  <si>
    <t>Mathieu</t>
  </si>
  <si>
    <t>Jose</t>
  </si>
  <si>
    <t>Joseph</t>
  </si>
  <si>
    <t>El-Sayed</t>
  </si>
  <si>
    <t>Sebastien</t>
  </si>
  <si>
    <t>Jeremmy</t>
  </si>
  <si>
    <t>Fabrice</t>
  </si>
  <si>
    <t>Asam</t>
  </si>
  <si>
    <t>Michel</t>
  </si>
  <si>
    <t>Husnu</t>
  </si>
  <si>
    <t>Rory</t>
  </si>
  <si>
    <t>Xhuljo</t>
  </si>
  <si>
    <t>Matthieu</t>
  </si>
  <si>
    <t>DURAN</t>
  </si>
  <si>
    <t>Sandra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</si>
</sst>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6"/>
      <color rgb="FFFF0000"/>
      <name val="Arial"/>
      <family val="2"/>
    </font>
    <font>
      <b/>
      <sz val="11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2DF41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2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10" fillId="2" borderId="26" xfId="0" applyNumberFormat="1" applyFont="1" applyFill="1" applyBorder="1" applyAlignment="1" applyProtection="1">
      <alignment horizontal="center" vertical="center"/>
    </xf>
    <xf numFmtId="1" fontId="13" fillId="2" borderId="19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2" fontId="14" fillId="2" borderId="18" xfId="0" applyNumberFormat="1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vertical="center"/>
      <protection locked="0" hidden="1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1" borderId="0" xfId="0" applyFont="1" applyFill="1"/>
    <xf numFmtId="0" fontId="21" fillId="11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</xf>
    <xf numFmtId="164" fontId="12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horizontal="center" vertical="center"/>
      <protection locked="0"/>
    </xf>
    <xf numFmtId="2" fontId="22" fillId="2" borderId="23" xfId="0" applyNumberFormat="1" applyFont="1" applyFill="1" applyBorder="1" applyAlignment="1" applyProtection="1">
      <alignment horizontal="center" vertical="center"/>
      <protection locked="0"/>
    </xf>
    <xf numFmtId="2" fontId="2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" fontId="4" fillId="9" borderId="11" xfId="0" applyNumberFormat="1" applyFont="1" applyFill="1" applyBorder="1" applyAlignment="1" applyProtection="1">
      <alignment horizontal="center" vertical="center"/>
      <protection locked="0"/>
    </xf>
    <xf numFmtId="164" fontId="4" fillId="9" borderId="18" xfId="0" applyNumberFormat="1" applyFont="1" applyFill="1" applyBorder="1" applyAlignment="1" applyProtection="1">
      <alignment horizontal="center" vertical="center"/>
      <protection locked="0"/>
    </xf>
    <xf numFmtId="164" fontId="4" fillId="9" borderId="12" xfId="0" applyNumberFormat="1" applyFont="1" applyFill="1" applyBorder="1" applyAlignment="1" applyProtection="1">
      <alignment horizontal="left" vertical="center"/>
      <protection locked="0"/>
    </xf>
    <xf numFmtId="0" fontId="3" fillId="9" borderId="13" xfId="0" applyFont="1" applyFill="1" applyBorder="1" applyAlignment="1" applyProtection="1">
      <alignment vertical="center"/>
      <protection locked="0"/>
    </xf>
    <xf numFmtId="164" fontId="4" fillId="9" borderId="11" xfId="0" applyNumberFormat="1" applyFont="1" applyFill="1" applyBorder="1" applyAlignment="1" applyProtection="1">
      <alignment horizontal="center" vertical="center"/>
      <protection locked="0"/>
    </xf>
    <xf numFmtId="2" fontId="22" fillId="9" borderId="14" xfId="0" applyNumberFormat="1" applyFont="1" applyFill="1" applyBorder="1" applyAlignment="1" applyProtection="1">
      <alignment horizontal="center" vertical="center"/>
      <protection locked="0"/>
    </xf>
    <xf numFmtId="1" fontId="6" fillId="9" borderId="15" xfId="0" applyNumberFormat="1" applyFont="1" applyFill="1" applyBorder="1" applyAlignment="1" applyProtection="1">
      <alignment horizontal="center" vertical="center"/>
      <protection locked="0"/>
    </xf>
    <xf numFmtId="1" fontId="6" fillId="9" borderId="16" xfId="0" applyNumberFormat="1" applyFont="1" applyFill="1" applyBorder="1" applyAlignment="1" applyProtection="1">
      <alignment horizontal="center" vertical="center"/>
      <protection locked="0"/>
    </xf>
    <xf numFmtId="1" fontId="10" fillId="9" borderId="26" xfId="0" applyNumberFormat="1" applyFont="1" applyFill="1" applyBorder="1" applyAlignment="1" applyProtection="1">
      <alignment horizontal="center" vertical="center"/>
    </xf>
    <xf numFmtId="1" fontId="6" fillId="9" borderId="25" xfId="0" applyNumberFormat="1" applyFont="1" applyFill="1" applyBorder="1" applyAlignment="1" applyProtection="1">
      <alignment horizontal="center" vertical="center"/>
      <protection locked="0"/>
    </xf>
    <xf numFmtId="1" fontId="13" fillId="9" borderId="19" xfId="0" applyNumberFormat="1" applyFont="1" applyFill="1" applyBorder="1" applyAlignment="1" applyProtection="1">
      <alignment horizontal="center" vertical="center"/>
    </xf>
    <xf numFmtId="0" fontId="9" fillId="9" borderId="20" xfId="0" applyFont="1" applyFill="1" applyBorder="1" applyAlignment="1" applyProtection="1">
      <alignment horizontal="center" vertical="center"/>
    </xf>
    <xf numFmtId="0" fontId="9" fillId="9" borderId="27" xfId="0" applyFont="1" applyFill="1" applyBorder="1" applyAlignment="1" applyProtection="1">
      <alignment horizontal="center" vertical="center"/>
    </xf>
    <xf numFmtId="2" fontId="14" fillId="9" borderId="18" xfId="0" applyNumberFormat="1" applyFont="1" applyFill="1" applyBorder="1" applyAlignment="1" applyProtection="1">
      <alignment horizontal="center" vertical="center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164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22" fillId="0" borderId="14" xfId="0" applyNumberFormat="1" applyFont="1" applyFill="1" applyBorder="1" applyAlignment="1" applyProtection="1">
      <alignment horizontal="right" vertical="center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4" fillId="18" borderId="11" xfId="0" applyNumberFormat="1" applyFont="1" applyFill="1" applyBorder="1" applyAlignment="1" applyProtection="1">
      <alignment horizontal="center" vertical="center"/>
      <protection locked="0"/>
    </xf>
    <xf numFmtId="164" fontId="4" fillId="18" borderId="18" xfId="0" applyNumberFormat="1" applyFont="1" applyFill="1" applyBorder="1" applyAlignment="1" applyProtection="1">
      <alignment horizontal="center" vertical="center"/>
      <protection locked="0"/>
    </xf>
    <xf numFmtId="164" fontId="4" fillId="18" borderId="12" xfId="0" applyNumberFormat="1" applyFont="1" applyFill="1" applyBorder="1" applyAlignment="1" applyProtection="1">
      <alignment horizontal="left" vertical="center"/>
      <protection locked="0"/>
    </xf>
    <xf numFmtId="0" fontId="3" fillId="18" borderId="13" xfId="0" applyFont="1" applyFill="1" applyBorder="1" applyAlignment="1" applyProtection="1">
      <alignment vertical="center"/>
      <protection locked="0"/>
    </xf>
    <xf numFmtId="164" fontId="4" fillId="18" borderId="11" xfId="0" applyNumberFormat="1" applyFont="1" applyFill="1" applyBorder="1" applyAlignment="1" applyProtection="1">
      <alignment horizontal="center" vertical="center"/>
      <protection locked="0"/>
    </xf>
    <xf numFmtId="2" fontId="22" fillId="18" borderId="14" xfId="0" applyNumberFormat="1" applyFont="1" applyFill="1" applyBorder="1" applyAlignment="1" applyProtection="1">
      <alignment horizontal="center" vertical="center"/>
      <protection locked="0"/>
    </xf>
    <xf numFmtId="1" fontId="6" fillId="18" borderId="15" xfId="0" applyNumberFormat="1" applyFont="1" applyFill="1" applyBorder="1" applyAlignment="1" applyProtection="1">
      <alignment horizontal="center" vertical="center"/>
      <protection locked="0"/>
    </xf>
    <xf numFmtId="1" fontId="6" fillId="18" borderId="16" xfId="0" applyNumberFormat="1" applyFont="1" applyFill="1" applyBorder="1" applyAlignment="1" applyProtection="1">
      <alignment horizontal="center" vertical="center"/>
      <protection locked="0"/>
    </xf>
    <xf numFmtId="1" fontId="10" fillId="18" borderId="26" xfId="0" applyNumberFormat="1" applyFont="1" applyFill="1" applyBorder="1" applyAlignment="1" applyProtection="1">
      <alignment horizontal="center" vertical="center"/>
    </xf>
    <xf numFmtId="1" fontId="6" fillId="18" borderId="25" xfId="0" applyNumberFormat="1" applyFont="1" applyFill="1" applyBorder="1" applyAlignment="1" applyProtection="1">
      <alignment horizontal="center" vertical="center"/>
      <protection locked="0"/>
    </xf>
    <xf numFmtId="1" fontId="13" fillId="18" borderId="19" xfId="0" applyNumberFormat="1" applyFont="1" applyFill="1" applyBorder="1" applyAlignment="1" applyProtection="1">
      <alignment horizontal="center" vertical="center"/>
    </xf>
    <xf numFmtId="0" fontId="9" fillId="18" borderId="20" xfId="0" applyFont="1" applyFill="1" applyBorder="1" applyAlignment="1" applyProtection="1">
      <alignment horizontal="center" vertical="center"/>
    </xf>
    <xf numFmtId="0" fontId="9" fillId="18" borderId="27" xfId="0" applyFont="1" applyFill="1" applyBorder="1" applyAlignment="1" applyProtection="1">
      <alignment horizontal="center" vertical="center"/>
    </xf>
    <xf numFmtId="2" fontId="14" fillId="18" borderId="18" xfId="0" applyNumberFormat="1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vertical="center"/>
      <protection locked="0" hidden="1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 applyProtection="1">
      <alignment horizontal="center" vertical="center" textRotation="90"/>
    </xf>
    <xf numFmtId="0" fontId="27" fillId="4" borderId="1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 textRotation="90"/>
    </xf>
    <xf numFmtId="0" fontId="26" fillId="2" borderId="17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26" fillId="18" borderId="17" xfId="0" applyFont="1" applyFill="1" applyBorder="1" applyAlignment="1" applyProtection="1">
      <alignment horizontal="center" vertical="center"/>
    </xf>
    <xf numFmtId="0" fontId="26" fillId="3" borderId="6" xfId="0" applyFont="1" applyFill="1" applyBorder="1" applyAlignment="1">
      <alignment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7" fillId="4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6" fillId="5" borderId="11" xfId="0" applyFont="1" applyFill="1" applyBorder="1" applyAlignment="1" applyProtection="1">
      <alignment horizontal="center" vertical="center"/>
      <protection locked="0"/>
    </xf>
    <xf numFmtId="0" fontId="26" fillId="17" borderId="11" xfId="0" applyFont="1" applyFill="1" applyBorder="1" applyAlignment="1" applyProtection="1">
      <alignment horizontal="center" vertical="center"/>
      <protection locked="0"/>
    </xf>
    <xf numFmtId="0" fontId="26" fillId="15" borderId="11" xfId="0" applyFont="1" applyFill="1" applyBorder="1" applyAlignment="1" applyProtection="1">
      <alignment horizontal="center" vertical="center"/>
      <protection locked="0"/>
    </xf>
    <xf numFmtId="0" fontId="26" fillId="2" borderId="29" xfId="0" applyFont="1" applyFill="1" applyBorder="1" applyAlignment="1">
      <alignment vertical="center"/>
    </xf>
    <xf numFmtId="0" fontId="26" fillId="2" borderId="0" xfId="0" applyNumberFormat="1" applyFont="1" applyFill="1" applyBorder="1" applyAlignment="1" applyProtection="1">
      <alignment vertical="center"/>
    </xf>
    <xf numFmtId="0" fontId="26" fillId="2" borderId="2" xfId="0" applyNumberFormat="1" applyFont="1" applyFill="1" applyBorder="1" applyAlignment="1" applyProtection="1">
      <alignment vertical="center"/>
    </xf>
    <xf numFmtId="0" fontId="26" fillId="2" borderId="11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/>
    </xf>
    <xf numFmtId="0" fontId="26" fillId="18" borderId="11" xfId="0" applyNumberFormat="1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 textRotation="90"/>
    </xf>
    <xf numFmtId="0" fontId="26" fillId="2" borderId="6" xfId="0" applyNumberFormat="1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right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center" vertical="center" textRotation="90"/>
    </xf>
    <xf numFmtId="0" fontId="26" fillId="2" borderId="9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164" fontId="3" fillId="2" borderId="9" xfId="0" applyNumberFormat="1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16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164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3" fillId="2" borderId="9" xfId="0" applyNumberFormat="1" applyFont="1" applyFill="1" applyBorder="1" applyAlignment="1" applyProtection="1">
      <alignment horizontal="center" vertical="center"/>
      <protection locked="0"/>
    </xf>
    <xf numFmtId="1" fontId="13" fillId="2" borderId="9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</xf>
    <xf numFmtId="165" fontId="3" fillId="2" borderId="9" xfId="0" applyNumberFormat="1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 applyProtection="1">
      <alignment horizontal="center" vertical="center"/>
    </xf>
    <xf numFmtId="0" fontId="26" fillId="2" borderId="2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18" borderId="1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6" fillId="9" borderId="17" xfId="0" applyFont="1" applyFill="1" applyBorder="1" applyAlignment="1" applyProtection="1">
      <alignment horizontal="center" vertical="center"/>
    </xf>
    <xf numFmtId="0" fontId="26" fillId="9" borderId="11" xfId="0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vertical="center"/>
      <protection locked="0" hidden="1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29" fillId="4" borderId="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  <xf numFmtId="164" fontId="23" fillId="15" borderId="0" xfId="0" applyNumberFormat="1" applyFont="1" applyFill="1" applyBorder="1" applyAlignment="1" applyProtection="1">
      <alignment horizontal="center" vertical="center"/>
      <protection locked="0"/>
    </xf>
    <xf numFmtId="0" fontId="25" fillId="16" borderId="33" xfId="0" applyFont="1" applyFill="1" applyBorder="1" applyAlignment="1" applyProtection="1">
      <alignment horizontal="center" vertical="center"/>
      <protection locked="0" hidden="1"/>
    </xf>
    <xf numFmtId="0" fontId="25" fillId="16" borderId="34" xfId="0" applyFont="1" applyFill="1" applyBorder="1" applyAlignment="1" applyProtection="1">
      <alignment horizontal="center" vertical="center"/>
      <protection locked="0" hidden="1"/>
    </xf>
    <xf numFmtId="0" fontId="25" fillId="16" borderId="35" xfId="0" applyFont="1" applyFill="1" applyBorder="1" applyAlignment="1" applyProtection="1">
      <alignment horizontal="center" vertical="center"/>
      <protection locked="0" hidden="1"/>
    </xf>
    <xf numFmtId="0" fontId="24" fillId="18" borderId="30" xfId="0" applyFont="1" applyFill="1" applyBorder="1" applyAlignment="1" applyProtection="1">
      <alignment horizontal="center" vertical="center"/>
      <protection locked="0" hidden="1"/>
    </xf>
    <xf numFmtId="0" fontId="24" fillId="18" borderId="31" xfId="0" applyFont="1" applyFill="1" applyBorder="1" applyAlignment="1" applyProtection="1">
      <alignment horizontal="center" vertical="center"/>
      <protection locked="0" hidden="1"/>
    </xf>
    <xf numFmtId="0" fontId="24" fillId="18" borderId="32" xfId="0" applyFont="1" applyFill="1" applyBorder="1" applyAlignment="1" applyProtection="1">
      <alignment horizontal="center" vertical="center"/>
      <protection locked="0" hidden="1"/>
    </xf>
    <xf numFmtId="164" fontId="23" fillId="16" borderId="0" xfId="0" applyNumberFormat="1" applyFont="1" applyFill="1" applyBorder="1" applyAlignment="1" applyProtection="1">
      <alignment horizontal="center" vertical="center"/>
      <protection locked="0"/>
    </xf>
    <xf numFmtId="164" fontId="23" fillId="14" borderId="0" xfId="0" applyNumberFormat="1" applyFont="1" applyFill="1" applyBorder="1" applyAlignment="1" applyProtection="1">
      <alignment horizontal="center" vertical="center"/>
      <protection locked="0"/>
    </xf>
    <xf numFmtId="164" fontId="23" fillId="12" borderId="0" xfId="0" applyNumberFormat="1" applyFont="1" applyFill="1" applyBorder="1" applyAlignment="1" applyProtection="1">
      <alignment horizontal="center" vertical="center"/>
      <protection locked="0"/>
    </xf>
    <xf numFmtId="0" fontId="16" fillId="13" borderId="6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9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66"/>
      <color rgb="FFFFFF66"/>
      <color rgb="FFDA9694"/>
      <color rgb="FFFF00FF"/>
      <color rgb="FFF9866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418246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420592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T168"/>
  <sheetViews>
    <sheetView tabSelected="1" view="pageBreakPreview" zoomScale="80" zoomScaleNormal="80" zoomScaleSheetLayoutView="80" workbookViewId="0"/>
  </sheetViews>
  <sheetFormatPr baseColWidth="10" defaultColWidth="11.42578125" defaultRowHeight="15" x14ac:dyDescent="0.2"/>
  <cols>
    <col min="1" max="1" width="1.7109375" style="1" customWidth="1"/>
    <col min="2" max="2" width="6.7109375" style="143" bestFit="1" customWidth="1"/>
    <col min="3" max="3" width="8.85546875" style="143" bestFit="1" customWidth="1"/>
    <col min="4" max="4" width="6.7109375" style="1" customWidth="1"/>
    <col min="5" max="5" width="4.7109375" style="1" customWidth="1"/>
    <col min="6" max="6" width="27.28515625" style="1" customWidth="1"/>
    <col min="7" max="7" width="20.7109375" style="1" customWidth="1"/>
    <col min="8" max="8" width="7.85546875" style="1" customWidth="1"/>
    <col min="9" max="9" width="25.7109375" style="91" customWidth="1"/>
    <col min="10" max="10" width="5.7109375" style="2" customWidth="1"/>
    <col min="11" max="11" width="8.7109375" style="3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5" width="18.140625" style="143" customWidth="1"/>
    <col min="26" max="26" width="19.7109375" style="1" customWidth="1"/>
    <col min="27" max="27" width="11.42578125" style="1"/>
    <col min="28" max="43" width="0" style="1" hidden="1" customWidth="1"/>
    <col min="44" max="77" width="11.42578125" style="93"/>
    <col min="78" max="16384" width="11.42578125" style="1"/>
  </cols>
  <sheetData>
    <row r="1" spans="1:124" ht="5.0999999999999996" customHeight="1" thickBot="1" x14ac:dyDescent="0.25"/>
    <row r="2" spans="1:124" s="12" customFormat="1" ht="30" customHeight="1" x14ac:dyDescent="0.2">
      <c r="B2" s="144"/>
      <c r="C2" s="158"/>
      <c r="D2" s="211" t="s">
        <v>111</v>
      </c>
      <c r="E2" s="212"/>
      <c r="F2" s="212"/>
      <c r="G2" s="212"/>
      <c r="H2" s="212"/>
      <c r="I2" s="212"/>
      <c r="J2" s="212"/>
      <c r="K2" s="212"/>
      <c r="L2" s="58"/>
      <c r="M2" s="57"/>
      <c r="N2" s="213" t="s">
        <v>109</v>
      </c>
      <c r="O2" s="213"/>
      <c r="P2" s="213"/>
      <c r="Q2" s="213"/>
      <c r="R2" s="213"/>
      <c r="S2" s="213"/>
      <c r="T2" s="57"/>
      <c r="U2" s="57"/>
      <c r="V2" s="212" t="s">
        <v>14</v>
      </c>
      <c r="W2" s="215"/>
      <c r="X2" s="13"/>
      <c r="Y2" s="209">
        <f>COUNTIF(E8:E508,"F")-8</f>
        <v>114</v>
      </c>
      <c r="Z2" s="13"/>
      <c r="AA2" s="13"/>
      <c r="AL2" s="14"/>
      <c r="AM2" s="14"/>
      <c r="AN2" s="14"/>
      <c r="AO2" s="14"/>
      <c r="AP2" s="14"/>
      <c r="AQ2" s="1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</row>
    <row r="3" spans="1:124" s="12" customFormat="1" ht="30" customHeight="1" thickBot="1" x14ac:dyDescent="0.25">
      <c r="B3" s="144"/>
      <c r="C3" s="158"/>
      <c r="D3" s="216" t="s">
        <v>523</v>
      </c>
      <c r="E3" s="217"/>
      <c r="F3" s="217"/>
      <c r="G3" s="217"/>
      <c r="H3" s="217"/>
      <c r="I3" s="217"/>
      <c r="J3" s="217"/>
      <c r="K3" s="217"/>
      <c r="L3" s="60"/>
      <c r="M3" s="59"/>
      <c r="N3" s="214"/>
      <c r="O3" s="214"/>
      <c r="P3" s="214"/>
      <c r="Q3" s="214"/>
      <c r="R3" s="214"/>
      <c r="S3" s="214"/>
      <c r="T3" s="59"/>
      <c r="U3" s="59"/>
      <c r="V3" s="218">
        <v>43184</v>
      </c>
      <c r="W3" s="219"/>
      <c r="X3" s="13"/>
      <c r="Y3" s="209"/>
      <c r="Z3" s="13"/>
      <c r="AA3" s="13"/>
      <c r="AL3" s="14"/>
      <c r="AM3" s="14"/>
      <c r="AN3" s="14"/>
      <c r="AO3" s="14"/>
      <c r="AP3" s="14"/>
      <c r="AQ3" s="1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</row>
    <row r="4" spans="1:124" s="11" customFormat="1" ht="18" customHeight="1" x14ac:dyDescent="0.2">
      <c r="A4" s="8"/>
      <c r="B4" s="145"/>
      <c r="C4" s="159"/>
      <c r="D4" s="26"/>
      <c r="E4" s="26"/>
      <c r="F4" s="27"/>
      <c r="G4" s="28"/>
      <c r="H4" s="29"/>
      <c r="I4" s="196"/>
      <c r="J4" s="31"/>
      <c r="K4" s="100"/>
      <c r="L4" s="32"/>
      <c r="M4" s="32"/>
      <c r="N4" s="32"/>
      <c r="O4" s="33"/>
      <c r="P4" s="32"/>
      <c r="Q4" s="32"/>
      <c r="R4" s="32"/>
      <c r="S4" s="33"/>
      <c r="T4" s="33"/>
      <c r="U4" s="34"/>
      <c r="V4" s="27"/>
      <c r="W4" s="27"/>
      <c r="X4" s="7"/>
      <c r="Y4" s="152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4" s="5" customFormat="1" ht="27.75" customHeight="1" x14ac:dyDescent="0.2">
      <c r="B5" s="220" t="s">
        <v>112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5" t="str">
        <f t="shared" ref="Z5" si="0">IF(P5=0," ",MAXA(P5+Q5,Q5+R5,P5+R5))</f>
        <v xml:space="preserve"> </v>
      </c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</row>
    <row r="6" spans="1:124" s="11" customFormat="1" ht="5.0999999999999996" customHeight="1" thickBot="1" x14ac:dyDescent="0.25">
      <c r="A6" s="8"/>
      <c r="B6" s="178"/>
      <c r="C6" s="179"/>
      <c r="D6" s="180"/>
      <c r="E6" s="180"/>
      <c r="F6" s="181"/>
      <c r="G6" s="182"/>
      <c r="H6" s="183"/>
      <c r="I6" s="206"/>
      <c r="J6" s="185"/>
      <c r="K6" s="186"/>
      <c r="L6" s="187"/>
      <c r="M6" s="187"/>
      <c r="N6" s="187"/>
      <c r="O6" s="188"/>
      <c r="P6" s="187"/>
      <c r="Q6" s="187"/>
      <c r="R6" s="187"/>
      <c r="S6" s="188"/>
      <c r="T6" s="188"/>
      <c r="U6" s="180"/>
      <c r="V6" s="189"/>
      <c r="W6" s="190"/>
      <c r="X6" s="7"/>
      <c r="Y6" s="191"/>
      <c r="Z6" s="7"/>
      <c r="AA6" s="7"/>
      <c r="AB6" s="7"/>
      <c r="AC6" s="89" t="s">
        <v>60</v>
      </c>
      <c r="AD6" s="89" t="s">
        <v>61</v>
      </c>
      <c r="AE6" s="89" t="s">
        <v>62</v>
      </c>
      <c r="AF6" s="89" t="s">
        <v>63</v>
      </c>
      <c r="AG6" s="89" t="s">
        <v>64</v>
      </c>
      <c r="AH6" s="89" t="s">
        <v>65</v>
      </c>
      <c r="AI6" s="89" t="s">
        <v>66</v>
      </c>
      <c r="AJ6" s="89" t="s">
        <v>67</v>
      </c>
      <c r="AK6" s="89" t="s">
        <v>68</v>
      </c>
      <c r="AL6" s="89"/>
      <c r="AM6" s="7"/>
      <c r="AN6" s="7"/>
      <c r="AO6" s="7"/>
      <c r="AP6" s="7"/>
      <c r="AQ6" s="7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7"/>
      <c r="CA6" s="7"/>
      <c r="CB6" s="7"/>
      <c r="CC6" s="7"/>
      <c r="CD6" s="7"/>
      <c r="CE6" s="7"/>
      <c r="CF6" s="7"/>
      <c r="CG6" s="7"/>
      <c r="CH6" s="7"/>
      <c r="CI6" s="7"/>
      <c r="CJ6" s="9"/>
      <c r="CK6" s="9"/>
      <c r="CL6" s="9"/>
      <c r="CM6" s="9"/>
      <c r="CN6" s="9"/>
      <c r="CO6" s="9"/>
      <c r="CP6" s="9"/>
      <c r="CQ6" s="9"/>
      <c r="CR6" s="9"/>
      <c r="CS6" s="9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20" customFormat="1" ht="18" customHeight="1" thickBot="1" x14ac:dyDescent="0.25">
      <c r="A7" s="17"/>
      <c r="B7" s="146" t="s">
        <v>8</v>
      </c>
      <c r="C7" s="153" t="s">
        <v>9</v>
      </c>
      <c r="D7" s="105" t="s">
        <v>6</v>
      </c>
      <c r="E7" s="105" t="s">
        <v>69</v>
      </c>
      <c r="F7" s="210" t="s">
        <v>0</v>
      </c>
      <c r="G7" s="210"/>
      <c r="H7" s="105" t="s">
        <v>11</v>
      </c>
      <c r="I7" s="207" t="s">
        <v>10</v>
      </c>
      <c r="J7" s="64" t="s">
        <v>5</v>
      </c>
      <c r="K7" s="64" t="s">
        <v>1</v>
      </c>
      <c r="L7" s="22">
        <v>1</v>
      </c>
      <c r="M7" s="23">
        <v>2</v>
      </c>
      <c r="N7" s="23">
        <v>3</v>
      </c>
      <c r="O7" s="24" t="s">
        <v>12</v>
      </c>
      <c r="P7" s="22">
        <v>1</v>
      </c>
      <c r="Q7" s="23">
        <v>2</v>
      </c>
      <c r="R7" s="23">
        <v>3</v>
      </c>
      <c r="S7" s="24" t="s">
        <v>13</v>
      </c>
      <c r="T7" s="25" t="s">
        <v>2</v>
      </c>
      <c r="U7" s="64" t="s">
        <v>3</v>
      </c>
      <c r="V7" s="64" t="s">
        <v>7</v>
      </c>
      <c r="W7" s="21" t="s">
        <v>4</v>
      </c>
      <c r="X7" s="61"/>
      <c r="Y7" s="153" t="s">
        <v>313</v>
      </c>
      <c r="Z7" s="18"/>
      <c r="AA7" s="18"/>
      <c r="AB7" s="18"/>
      <c r="AC7" s="87" t="s">
        <v>107</v>
      </c>
      <c r="AD7" s="87" t="s">
        <v>106</v>
      </c>
      <c r="AE7" s="87" t="s">
        <v>62</v>
      </c>
      <c r="AF7" s="87" t="s">
        <v>63</v>
      </c>
      <c r="AG7" s="87" t="s">
        <v>64</v>
      </c>
      <c r="AH7" s="87" t="s">
        <v>65</v>
      </c>
      <c r="AI7" s="87" t="s">
        <v>66</v>
      </c>
      <c r="AJ7" s="87" t="s">
        <v>67</v>
      </c>
      <c r="AK7" s="87" t="s">
        <v>68</v>
      </c>
      <c r="AL7" s="88"/>
      <c r="AM7" s="19"/>
      <c r="AN7" s="19"/>
      <c r="AO7" s="19"/>
      <c r="AP7" s="19"/>
      <c r="AQ7" s="19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</row>
    <row r="8" spans="1:124" s="11" customFormat="1" ht="5.0999999999999996" customHeight="1" thickBot="1" x14ac:dyDescent="0.25">
      <c r="A8" s="8"/>
      <c r="B8" s="147"/>
      <c r="C8" s="160"/>
      <c r="D8" s="41"/>
      <c r="E8" s="41"/>
      <c r="F8" s="42"/>
      <c r="G8" s="43"/>
      <c r="H8" s="44"/>
      <c r="I8" s="193"/>
      <c r="J8" s="40"/>
      <c r="K8" s="101"/>
      <c r="L8" s="45"/>
      <c r="M8" s="45"/>
      <c r="N8" s="45"/>
      <c r="O8" s="46"/>
      <c r="P8" s="45"/>
      <c r="Q8" s="45"/>
      <c r="R8" s="45"/>
      <c r="S8" s="46"/>
      <c r="T8" s="46"/>
      <c r="U8" s="41"/>
      <c r="V8" s="48"/>
      <c r="W8" s="47"/>
      <c r="X8" s="7"/>
      <c r="Y8" s="154"/>
      <c r="Z8" s="7"/>
      <c r="AA8" s="7"/>
      <c r="AB8" s="7"/>
      <c r="AC8" s="89" t="s">
        <v>60</v>
      </c>
      <c r="AD8" s="89" t="s">
        <v>61</v>
      </c>
      <c r="AE8" s="89" t="s">
        <v>62</v>
      </c>
      <c r="AF8" s="89" t="s">
        <v>63</v>
      </c>
      <c r="AG8" s="89" t="s">
        <v>64</v>
      </c>
      <c r="AH8" s="89" t="s">
        <v>65</v>
      </c>
      <c r="AI8" s="89" t="s">
        <v>66</v>
      </c>
      <c r="AJ8" s="89" t="s">
        <v>67</v>
      </c>
      <c r="AK8" s="89" t="s">
        <v>68</v>
      </c>
      <c r="AL8" s="89"/>
      <c r="AM8" s="7"/>
      <c r="AN8" s="7"/>
      <c r="AO8" s="7"/>
      <c r="AP8" s="7"/>
      <c r="AQ8" s="7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7"/>
      <c r="CA8" s="7"/>
      <c r="CB8" s="7"/>
      <c r="CC8" s="7"/>
      <c r="CD8" s="7"/>
      <c r="CE8" s="7"/>
      <c r="CF8" s="7"/>
      <c r="CG8" s="7"/>
      <c r="CH8" s="7"/>
      <c r="CI8" s="7"/>
      <c r="CJ8" s="9"/>
      <c r="CK8" s="9"/>
      <c r="CL8" s="9"/>
      <c r="CM8" s="9"/>
      <c r="CN8" s="9"/>
      <c r="CO8" s="9"/>
      <c r="CP8" s="9"/>
      <c r="CQ8" s="9"/>
      <c r="CR8" s="9"/>
      <c r="CS8" s="9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</row>
    <row r="9" spans="1:124" s="5" customFormat="1" ht="27.95" customHeight="1" thickBot="1" x14ac:dyDescent="0.25">
      <c r="B9" s="148" t="s">
        <v>122</v>
      </c>
      <c r="C9" s="195">
        <v>408162</v>
      </c>
      <c r="D9" s="85">
        <v>1</v>
      </c>
      <c r="E9" s="84" t="s">
        <v>108</v>
      </c>
      <c r="F9" s="50" t="s">
        <v>149</v>
      </c>
      <c r="G9" s="51" t="s">
        <v>579</v>
      </c>
      <c r="H9" s="85">
        <v>2003</v>
      </c>
      <c r="I9" s="203" t="s">
        <v>468</v>
      </c>
      <c r="J9" s="49" t="s">
        <v>108</v>
      </c>
      <c r="K9" s="102">
        <v>42.6</v>
      </c>
      <c r="L9" s="52">
        <v>27</v>
      </c>
      <c r="M9" s="53">
        <v>30</v>
      </c>
      <c r="N9" s="53">
        <v>-32</v>
      </c>
      <c r="O9" s="54">
        <f t="shared" ref="O9:O11" si="1">IF(E9="","",IF(MAXA(L9:N9)&lt;=0,0,MAXA(L9:N9)))</f>
        <v>30</v>
      </c>
      <c r="P9" s="53">
        <v>35</v>
      </c>
      <c r="Q9" s="53">
        <v>38</v>
      </c>
      <c r="R9" s="53">
        <v>-40</v>
      </c>
      <c r="S9" s="54">
        <f t="shared" ref="S9:S11" si="2">IF(E9="","",IF(MAXA(P9:R9)&lt;=0,0,MAXA(P9:R9)))</f>
        <v>38</v>
      </c>
      <c r="T9" s="55">
        <f t="shared" ref="T9:T11" si="3">IF(E9="","",IF(OR(O9=0,S9=0),0,O9+S9))</f>
        <v>68</v>
      </c>
      <c r="U9" s="56" t="str">
        <f t="shared" ref="U9:U11" si="4">+CONCATENATE(AN9," ",AO9)</f>
        <v>FED + 3</v>
      </c>
      <c r="V9" s="86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FC1 44</v>
      </c>
      <c r="W9" s="62">
        <f t="shared" ref="W9:W11" si="5">IF(E9=" "," ",IF(E9="H",10^(0.75194503*LOG(K9/175.508)^2)*T9,IF(E9="F",10^(0.783497476* LOG(K9/153.655)^2)*T9,"")))</f>
        <v>119.04410577907822</v>
      </c>
      <c r="X9" s="63"/>
      <c r="Y9" s="157" t="s">
        <v>131</v>
      </c>
      <c r="AC9" s="90">
        <f>T9-HLOOKUP(V9,Minimas!$C$1:$BN$10,2,FALSE)</f>
        <v>43</v>
      </c>
      <c r="AD9" s="90">
        <f>T9-HLOOKUP(V9,Minimas!$C$1:$BN$10,3,FALSE)</f>
        <v>38</v>
      </c>
      <c r="AE9" s="90">
        <f>T9-HLOOKUP(V9,Minimas!$C$1:$BN$10,4,FALSE)</f>
        <v>28</v>
      </c>
      <c r="AF9" s="90">
        <f>T9-HLOOKUP(V9,Minimas!$C$1:$BN$10,5,FALSE)</f>
        <v>18</v>
      </c>
      <c r="AG9" s="90">
        <f>T9-HLOOKUP(V9,Minimas!$C$1:$BN$10,6,FALSE)</f>
        <v>3</v>
      </c>
      <c r="AH9" s="90">
        <f>T9-HLOOKUP(V9,Minimas!$C$1:$BN$10,7,FALSE)</f>
        <v>-7</v>
      </c>
      <c r="AI9" s="90">
        <f>T9-HLOOKUP(V9,Minimas!$C$1:$BN$10,8,FALSE)</f>
        <v>-17</v>
      </c>
      <c r="AJ9" s="90">
        <f>T9-HLOOKUP(V9,Minimas!$C$1:$BN$10,9,FALSE)</f>
        <v>-27</v>
      </c>
      <c r="AK9" s="90">
        <f>T9-HLOOKUP(V9,Minimas!$C$1:$BN$10,10,FALSE)</f>
        <v>-932</v>
      </c>
      <c r="AL9" s="91" t="str">
        <f t="shared" ref="AL9:AL11" si="6">IF(E9=0," ",IF(AK9&gt;=0,$AK$7,IF(AJ9&gt;=0,$AJ$7,IF(AI9&gt;=0,$AI$7,IF(AH9&gt;=0,$AH$7,IF(AG9&gt;=0,$AG$7,IF(AF9&gt;=0,$AF$7,IF(AE9&gt;=0,$AE$7,IF(AD9&gt;=0,$AD$7,$AC$7)))))))))</f>
        <v>FED +</v>
      </c>
      <c r="AN9" s="5" t="str">
        <f t="shared" ref="AN9:AN11" si="7">IF(AL9="","",AL9)</f>
        <v>FED +</v>
      </c>
      <c r="AO9" s="5">
        <f t="shared" ref="AO9:AO11" si="8">IF(E9=0," ",IF(AK9&gt;=0,AK9,IF(AJ9&gt;=0,AJ9,IF(AI9&gt;=0,AI9,IF(AH9&gt;=0,AH9,IF(AG9&gt;=0,AG9,IF(AF9&gt;=0,AF9,IF(AE9&gt;=0,AE9,IF(AD9&gt;=0,AD9,AC9)))))))))</f>
        <v>3</v>
      </c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</row>
    <row r="10" spans="1:124" s="11" customFormat="1" ht="5.0999999999999996" customHeight="1" thickBot="1" x14ac:dyDescent="0.25">
      <c r="A10" s="8"/>
      <c r="B10" s="147"/>
      <c r="C10" s="160"/>
      <c r="D10" s="41"/>
      <c r="E10" s="41"/>
      <c r="F10" s="42"/>
      <c r="G10" s="43"/>
      <c r="H10" s="44"/>
      <c r="I10" s="193"/>
      <c r="J10" s="40"/>
      <c r="K10" s="101"/>
      <c r="L10" s="45"/>
      <c r="M10" s="45"/>
      <c r="N10" s="45"/>
      <c r="O10" s="46"/>
      <c r="P10" s="45"/>
      <c r="Q10" s="45"/>
      <c r="R10" s="45"/>
      <c r="S10" s="46"/>
      <c r="T10" s="46"/>
      <c r="U10" s="41"/>
      <c r="V10" s="48"/>
      <c r="W10" s="47"/>
      <c r="X10" s="7"/>
      <c r="Y10" s="154"/>
      <c r="Z10" s="7"/>
      <c r="AA10" s="7"/>
      <c r="AB10" s="7"/>
      <c r="AC10" s="89" t="s">
        <v>60</v>
      </c>
      <c r="AD10" s="89" t="s">
        <v>61</v>
      </c>
      <c r="AE10" s="89" t="s">
        <v>62</v>
      </c>
      <c r="AF10" s="89" t="s">
        <v>63</v>
      </c>
      <c r="AG10" s="89" t="s">
        <v>64</v>
      </c>
      <c r="AH10" s="89" t="s">
        <v>65</v>
      </c>
      <c r="AI10" s="89" t="s">
        <v>66</v>
      </c>
      <c r="AJ10" s="89" t="s">
        <v>67</v>
      </c>
      <c r="AK10" s="89" t="s">
        <v>68</v>
      </c>
      <c r="AL10" s="89"/>
      <c r="AM10" s="7"/>
      <c r="AN10" s="7"/>
      <c r="AO10" s="7"/>
      <c r="AP10" s="7"/>
      <c r="AQ10" s="7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</row>
    <row r="11" spans="1:124" s="5" customFormat="1" ht="27.95" customHeight="1" x14ac:dyDescent="0.2">
      <c r="B11" s="148" t="s">
        <v>125</v>
      </c>
      <c r="C11" s="195">
        <v>430575</v>
      </c>
      <c r="D11" s="85">
        <v>1</v>
      </c>
      <c r="E11" s="84" t="s">
        <v>108</v>
      </c>
      <c r="F11" s="50" t="s">
        <v>150</v>
      </c>
      <c r="G11" s="51" t="s">
        <v>316</v>
      </c>
      <c r="H11" s="85">
        <v>2003</v>
      </c>
      <c r="I11" s="203" t="s">
        <v>578</v>
      </c>
      <c r="J11" s="49" t="s">
        <v>108</v>
      </c>
      <c r="K11" s="102">
        <v>48</v>
      </c>
      <c r="L11" s="52">
        <v>30</v>
      </c>
      <c r="M11" s="53">
        <v>33</v>
      </c>
      <c r="N11" s="53">
        <v>-35</v>
      </c>
      <c r="O11" s="54">
        <f t="shared" si="1"/>
        <v>33</v>
      </c>
      <c r="P11" s="53">
        <v>43</v>
      </c>
      <c r="Q11" s="53">
        <v>-47</v>
      </c>
      <c r="R11" s="53">
        <v>-47</v>
      </c>
      <c r="S11" s="54">
        <f t="shared" si="2"/>
        <v>43</v>
      </c>
      <c r="T11" s="55">
        <f t="shared" si="3"/>
        <v>76</v>
      </c>
      <c r="U11" s="56" t="str">
        <f t="shared" si="4"/>
        <v>FED + 6</v>
      </c>
      <c r="V11" s="86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FC1 48</v>
      </c>
      <c r="W11" s="62">
        <f t="shared" si="5"/>
        <v>120.46664885092493</v>
      </c>
      <c r="X11" s="63"/>
      <c r="Y11" s="157" t="s">
        <v>131</v>
      </c>
      <c r="AC11" s="90">
        <f>T11-HLOOKUP(V11,Minimas!$C$1:$BN$10,2,FALSE)</f>
        <v>46</v>
      </c>
      <c r="AD11" s="90">
        <f>T11-HLOOKUP(V11,Minimas!$C$1:$BN$10,3,FALSE)</f>
        <v>41</v>
      </c>
      <c r="AE11" s="90">
        <f>T11-HLOOKUP(V11,Minimas!$C$1:$BN$10,4,FALSE)</f>
        <v>31</v>
      </c>
      <c r="AF11" s="90">
        <f>T11-HLOOKUP(V11,Minimas!$C$1:$BN$10,5,FALSE)</f>
        <v>21</v>
      </c>
      <c r="AG11" s="90">
        <f>T11-HLOOKUP(V11,Minimas!$C$1:$BN$10,6,FALSE)</f>
        <v>6</v>
      </c>
      <c r="AH11" s="90">
        <f>T11-HLOOKUP(V11,Minimas!$C$1:$BN$10,7,FALSE)</f>
        <v>-4</v>
      </c>
      <c r="AI11" s="90">
        <f>T11-HLOOKUP(V11,Minimas!$C$1:$BN$10,8,FALSE)</f>
        <v>-14</v>
      </c>
      <c r="AJ11" s="90">
        <f>T11-HLOOKUP(V11,Minimas!$C$1:$BN$10,9,FALSE)</f>
        <v>-24</v>
      </c>
      <c r="AK11" s="90">
        <f>T11-HLOOKUP(V11,Minimas!$C$1:$BN$10,10,FALSE)</f>
        <v>-924</v>
      </c>
      <c r="AL11" s="91" t="str">
        <f t="shared" si="6"/>
        <v>FED +</v>
      </c>
      <c r="AN11" s="5" t="str">
        <f t="shared" si="7"/>
        <v>FED +</v>
      </c>
      <c r="AO11" s="5">
        <f t="shared" si="8"/>
        <v>6</v>
      </c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</row>
    <row r="12" spans="1:124" s="5" customFormat="1" ht="27.95" customHeight="1" thickBot="1" x14ac:dyDescent="0.25">
      <c r="B12" s="148" t="s">
        <v>123</v>
      </c>
      <c r="C12" s="195">
        <v>429650</v>
      </c>
      <c r="D12" s="85">
        <v>2</v>
      </c>
      <c r="E12" s="84" t="s">
        <v>108</v>
      </c>
      <c r="F12" s="50" t="s">
        <v>440</v>
      </c>
      <c r="G12" s="51" t="s">
        <v>580</v>
      </c>
      <c r="H12" s="85">
        <v>2004</v>
      </c>
      <c r="I12" s="203" t="s">
        <v>142</v>
      </c>
      <c r="J12" s="49" t="s">
        <v>108</v>
      </c>
      <c r="K12" s="102">
        <v>47.2</v>
      </c>
      <c r="L12" s="52">
        <v>28</v>
      </c>
      <c r="M12" s="53">
        <v>30</v>
      </c>
      <c r="N12" s="53">
        <v>-32</v>
      </c>
      <c r="O12" s="54">
        <f t="shared" ref="O12" si="9">IF(E12="","",IF(MAXA(L12:N12)&lt;=0,0,MAXA(L12:N12)))</f>
        <v>30</v>
      </c>
      <c r="P12" s="53">
        <v>34</v>
      </c>
      <c r="Q12" s="53">
        <v>38</v>
      </c>
      <c r="R12" s="53">
        <v>40</v>
      </c>
      <c r="S12" s="54">
        <f t="shared" ref="S12" si="10">IF(E12="","",IF(MAXA(P12:R12)&lt;=0,0,MAXA(P12:R12)))</f>
        <v>40</v>
      </c>
      <c r="T12" s="55">
        <f t="shared" ref="T12" si="11">IF(E12="","",IF(OR(O12=0,S12=0),0,O12+S12))</f>
        <v>70</v>
      </c>
      <c r="U12" s="56" t="str">
        <f t="shared" ref="U12" si="12">+CONCATENATE(AN12," ",AO12)</f>
        <v>FED + 0</v>
      </c>
      <c r="V12" s="86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FC1 48</v>
      </c>
      <c r="W12" s="62">
        <f t="shared" ref="W12" si="13">IF(E12=" "," ",IF(E12="H",10^(0.75194503*LOG(K12/175.508)^2)*T12,IF(E12="F",10^(0.783497476* LOG(K12/153.655)^2)*T12,"")))</f>
        <v>112.45341253742455</v>
      </c>
      <c r="X12" s="63"/>
      <c r="Y12" s="155" t="s">
        <v>441</v>
      </c>
      <c r="AC12" s="90">
        <f>T12-HLOOKUP(V12,Minimas!$C$1:$BN$10,2,FALSE)</f>
        <v>40</v>
      </c>
      <c r="AD12" s="90">
        <f>T12-HLOOKUP(V12,Minimas!$C$1:$BN$10,3,FALSE)</f>
        <v>35</v>
      </c>
      <c r="AE12" s="90">
        <f>T12-HLOOKUP(V12,Minimas!$C$1:$BN$10,4,FALSE)</f>
        <v>25</v>
      </c>
      <c r="AF12" s="90">
        <f>T12-HLOOKUP(V12,Minimas!$C$1:$BN$10,5,FALSE)</f>
        <v>15</v>
      </c>
      <c r="AG12" s="90">
        <f>T12-HLOOKUP(V12,Minimas!$C$1:$BN$10,6,FALSE)</f>
        <v>0</v>
      </c>
      <c r="AH12" s="90">
        <f>T12-HLOOKUP(V12,Minimas!$C$1:$BN$10,7,FALSE)</f>
        <v>-10</v>
      </c>
      <c r="AI12" s="90">
        <f>T12-HLOOKUP(V12,Minimas!$C$1:$BN$10,8,FALSE)</f>
        <v>-20</v>
      </c>
      <c r="AJ12" s="90">
        <f>T12-HLOOKUP(V12,Minimas!$C$1:$BN$10,9,FALSE)</f>
        <v>-30</v>
      </c>
      <c r="AK12" s="90">
        <f>T12-HLOOKUP(V12,Minimas!$C$1:$BN$10,10,FALSE)</f>
        <v>-930</v>
      </c>
      <c r="AL12" s="91" t="str">
        <f t="shared" ref="AL12" si="14">IF(E12=0," ",IF(AK12&gt;=0,$AK$7,IF(AJ12&gt;=0,$AJ$7,IF(AI12&gt;=0,$AI$7,IF(AH12&gt;=0,$AH$7,IF(AG12&gt;=0,$AG$7,IF(AF12&gt;=0,$AF$7,IF(AE12&gt;=0,$AE$7,IF(AD12&gt;=0,$AD$7,$AC$7)))))))))</f>
        <v>FED +</v>
      </c>
      <c r="AN12" s="5" t="str">
        <f t="shared" ref="AN12" si="15">IF(AL12="","",AL12)</f>
        <v>FED +</v>
      </c>
      <c r="AO12" s="5">
        <f t="shared" ref="AO12" si="16">IF(E12=0," ",IF(AK12&gt;=0,AK12,IF(AJ12&gt;=0,AJ12,IF(AI12&gt;=0,AI12,IF(AH12&gt;=0,AH12,IF(AG12&gt;=0,AG12,IF(AF12&gt;=0,AF12,IF(AE12&gt;=0,AE12,IF(AD12&gt;=0,AD12,AC12)))))))))</f>
        <v>0</v>
      </c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</row>
    <row r="13" spans="1:124" s="11" customFormat="1" ht="5.0999999999999996" customHeight="1" thickBot="1" x14ac:dyDescent="0.25">
      <c r="A13" s="8"/>
      <c r="B13" s="147"/>
      <c r="C13" s="160"/>
      <c r="D13" s="41"/>
      <c r="E13" s="41"/>
      <c r="F13" s="42"/>
      <c r="G13" s="43"/>
      <c r="H13" s="44"/>
      <c r="I13" s="193"/>
      <c r="J13" s="40"/>
      <c r="K13" s="101"/>
      <c r="L13" s="45"/>
      <c r="M13" s="45"/>
      <c r="N13" s="45"/>
      <c r="O13" s="46"/>
      <c r="P13" s="45"/>
      <c r="Q13" s="45"/>
      <c r="R13" s="45"/>
      <c r="S13" s="46"/>
      <c r="T13" s="46"/>
      <c r="U13" s="41"/>
      <c r="V13" s="48"/>
      <c r="W13" s="47"/>
      <c r="X13" s="7"/>
      <c r="Y13" s="154"/>
      <c r="Z13" s="7"/>
      <c r="AA13" s="7"/>
      <c r="AB13" s="7"/>
      <c r="AC13" s="89" t="s">
        <v>60</v>
      </c>
      <c r="AD13" s="89" t="s">
        <v>61</v>
      </c>
      <c r="AE13" s="89" t="s">
        <v>62</v>
      </c>
      <c r="AF13" s="89" t="s">
        <v>63</v>
      </c>
      <c r="AG13" s="89" t="s">
        <v>64</v>
      </c>
      <c r="AH13" s="89" t="s">
        <v>65</v>
      </c>
      <c r="AI13" s="89" t="s">
        <v>66</v>
      </c>
      <c r="AJ13" s="89" t="s">
        <v>67</v>
      </c>
      <c r="AK13" s="89" t="s">
        <v>68</v>
      </c>
      <c r="AL13" s="89"/>
      <c r="AM13" s="7"/>
      <c r="AN13" s="7"/>
      <c r="AO13" s="7"/>
      <c r="AP13" s="7"/>
      <c r="AQ13" s="7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</row>
    <row r="14" spans="1:124" s="5" customFormat="1" ht="27.95" customHeight="1" x14ac:dyDescent="0.2">
      <c r="B14" s="148" t="s">
        <v>120</v>
      </c>
      <c r="C14" s="161">
        <v>424070</v>
      </c>
      <c r="D14" s="92">
        <v>1</v>
      </c>
      <c r="E14" s="84" t="s">
        <v>108</v>
      </c>
      <c r="F14" s="36" t="s">
        <v>152</v>
      </c>
      <c r="G14" s="37" t="s">
        <v>153</v>
      </c>
      <c r="H14" s="92">
        <v>2004</v>
      </c>
      <c r="I14" s="192" t="s">
        <v>135</v>
      </c>
      <c r="J14" s="35" t="s">
        <v>108</v>
      </c>
      <c r="K14" s="103">
        <v>51</v>
      </c>
      <c r="L14" s="38">
        <v>39</v>
      </c>
      <c r="M14" s="39">
        <v>-41</v>
      </c>
      <c r="N14" s="39">
        <v>41</v>
      </c>
      <c r="O14" s="54">
        <f t="shared" ref="O14:O79" si="17">IF(E14="","",IF(MAXA(L14:N14)&lt;=0,0,MAXA(L14:N14)))</f>
        <v>41</v>
      </c>
      <c r="P14" s="53">
        <v>45</v>
      </c>
      <c r="Q14" s="53">
        <v>-49</v>
      </c>
      <c r="R14" s="53">
        <v>-49</v>
      </c>
      <c r="S14" s="54">
        <f t="shared" ref="S14:S79" si="18">IF(E14="","",IF(MAXA(P14:R14)&lt;=0,0,MAXA(P14:R14)))</f>
        <v>45</v>
      </c>
      <c r="T14" s="55">
        <f t="shared" ref="T14:T79" si="19">IF(E14="","",IF(OR(O14=0,S14=0),0,O14+S14))</f>
        <v>86</v>
      </c>
      <c r="U14" s="56" t="str">
        <f t="shared" ref="U14:U79" si="20">+CONCATENATE(AN14," ",AO14)</f>
        <v>FED + 6</v>
      </c>
      <c r="V14" s="86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FC1 53</v>
      </c>
      <c r="W14" s="62">
        <f t="shared" ref="W14:W79" si="21">IF(E14=" "," ",IF(E14="H",10^(0.75194503*LOG(K14/175.508)^2)*T14,IF(E14="F",10^(0.783497476* LOG(K14/153.655)^2)*T14,"")))</f>
        <v>130.09100621529151</v>
      </c>
      <c r="X14" s="63"/>
      <c r="Y14" s="155" t="s">
        <v>441</v>
      </c>
      <c r="AC14" s="90">
        <f>T14-HLOOKUP(V14,Minimas!$C$1:$BN$10,2,FALSE)</f>
        <v>51</v>
      </c>
      <c r="AD14" s="90">
        <f>T14-HLOOKUP(V14,Minimas!$C$1:$BN$10,3,FALSE)</f>
        <v>41</v>
      </c>
      <c r="AE14" s="90">
        <f>T14-HLOOKUP(V14,Minimas!$C$1:$BN$10,4,FALSE)</f>
        <v>31</v>
      </c>
      <c r="AF14" s="90">
        <f>T14-HLOOKUP(V14,Minimas!$C$1:$BN$10,5,FALSE)</f>
        <v>21</v>
      </c>
      <c r="AG14" s="90">
        <f>T14-HLOOKUP(V14,Minimas!$C$1:$BN$10,6,FALSE)</f>
        <v>6</v>
      </c>
      <c r="AH14" s="90">
        <f>T14-HLOOKUP(V14,Minimas!$C$1:$BN$10,7,FALSE)</f>
        <v>-4</v>
      </c>
      <c r="AI14" s="90">
        <f>T14-HLOOKUP(V14,Minimas!$C$1:$BN$10,8,FALSE)</f>
        <v>-14</v>
      </c>
      <c r="AJ14" s="90">
        <f>T14-HLOOKUP(V14,Minimas!$C$1:$BN$10,9,FALSE)</f>
        <v>-24</v>
      </c>
      <c r="AK14" s="90">
        <f>T14-HLOOKUP(V14,Minimas!$C$1:$BN$10,10,FALSE)</f>
        <v>-914</v>
      </c>
      <c r="AL14" s="91" t="str">
        <f t="shared" ref="AL14:AL79" si="22">IF(E14=0," ",IF(AK14&gt;=0,$AK$7,IF(AJ14&gt;=0,$AJ$7,IF(AI14&gt;=0,$AI$7,IF(AH14&gt;=0,$AH$7,IF(AG14&gt;=0,$AG$7,IF(AF14&gt;=0,$AF$7,IF(AE14&gt;=0,$AE$7,IF(AD14&gt;=0,$AD$7,$AC$7)))))))))</f>
        <v>FED +</v>
      </c>
      <c r="AN14" s="5" t="str">
        <f t="shared" ref="AN14:AN79" si="23">IF(AL14="","",AL14)</f>
        <v>FED +</v>
      </c>
      <c r="AO14" s="5">
        <f t="shared" ref="AO14:AO79" si="24">IF(E14=0," ",IF(AK14&gt;=0,AK14,IF(AJ14&gt;=0,AJ14,IF(AI14&gt;=0,AI14,IF(AH14&gt;=0,AH14,IF(AG14&gt;=0,AG14,IF(AF14&gt;=0,AF14,IF(AE14&gt;=0,AE14,IF(AD14&gt;=0,AD14,AC14)))))))))</f>
        <v>6</v>
      </c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</row>
    <row r="15" spans="1:124" s="5" customFormat="1" ht="27.95" customHeight="1" x14ac:dyDescent="0.2">
      <c r="B15" s="201" t="s">
        <v>125</v>
      </c>
      <c r="C15" s="202">
        <v>430575</v>
      </c>
      <c r="D15" s="106">
        <v>2</v>
      </c>
      <c r="E15" s="107" t="s">
        <v>108</v>
      </c>
      <c r="F15" s="108" t="s">
        <v>150</v>
      </c>
      <c r="G15" s="109" t="s">
        <v>316</v>
      </c>
      <c r="H15" s="106">
        <v>2003</v>
      </c>
      <c r="I15" s="204" t="s">
        <v>578</v>
      </c>
      <c r="J15" s="110" t="s">
        <v>108</v>
      </c>
      <c r="K15" s="111">
        <v>49.7</v>
      </c>
      <c r="L15" s="112">
        <v>-35</v>
      </c>
      <c r="M15" s="113">
        <v>37</v>
      </c>
      <c r="N15" s="113">
        <v>-40</v>
      </c>
      <c r="O15" s="114">
        <f t="shared" ref="O15:O16" si="25">IF(E15="","",IF(MAXA(L15:N15)&lt;=0,0,MAXA(L15:N15)))</f>
        <v>37</v>
      </c>
      <c r="P15" s="115">
        <v>47</v>
      </c>
      <c r="Q15" s="115">
        <v>-51</v>
      </c>
      <c r="R15" s="115">
        <v>-53</v>
      </c>
      <c r="S15" s="114">
        <f t="shared" ref="S15:S16" si="26">IF(E15="","",IF(MAXA(P15:R15)&lt;=0,0,MAXA(P15:R15)))</f>
        <v>47</v>
      </c>
      <c r="T15" s="116">
        <f t="shared" ref="T15:T16" si="27">IF(E15="","",IF(OR(O15=0,S15=0),0,O15+S15))</f>
        <v>84</v>
      </c>
      <c r="U15" s="117" t="str">
        <f t="shared" ref="U15:U16" si="28">+CONCATENATE(AN15," ",AO15)</f>
        <v>FED + 4</v>
      </c>
      <c r="V15" s="118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FC1 53</v>
      </c>
      <c r="W15" s="119">
        <f t="shared" ref="W15:W16" si="29">IF(E15=" "," ",IF(E15="H",10^(0.75194503*LOG(K15/175.508)^2)*T15,IF(E15="F",10^(0.783497476* LOG(K15/153.655)^2)*T15,"")))</f>
        <v>129.58155352861627</v>
      </c>
      <c r="X15" s="63"/>
      <c r="Y15" s="155" t="s">
        <v>441</v>
      </c>
      <c r="AC15" s="90">
        <f>T15-HLOOKUP(V15,Minimas!$C$1:$BN$10,2,FALSE)</f>
        <v>49</v>
      </c>
      <c r="AD15" s="90">
        <f>T15-HLOOKUP(V15,Minimas!$C$1:$BN$10,3,FALSE)</f>
        <v>39</v>
      </c>
      <c r="AE15" s="90">
        <f>T15-HLOOKUP(V15,Minimas!$C$1:$BN$10,4,FALSE)</f>
        <v>29</v>
      </c>
      <c r="AF15" s="90">
        <f>T15-HLOOKUP(V15,Minimas!$C$1:$BN$10,5,FALSE)</f>
        <v>19</v>
      </c>
      <c r="AG15" s="90">
        <f>T15-HLOOKUP(V15,Minimas!$C$1:$BN$10,6,FALSE)</f>
        <v>4</v>
      </c>
      <c r="AH15" s="90">
        <f>T15-HLOOKUP(V15,Minimas!$C$1:$BN$10,7,FALSE)</f>
        <v>-6</v>
      </c>
      <c r="AI15" s="90">
        <f>T15-HLOOKUP(V15,Minimas!$C$1:$BN$10,8,FALSE)</f>
        <v>-16</v>
      </c>
      <c r="AJ15" s="90">
        <f>T15-HLOOKUP(V15,Minimas!$C$1:$BN$10,9,FALSE)</f>
        <v>-26</v>
      </c>
      <c r="AK15" s="90">
        <f>T15-HLOOKUP(V15,Minimas!$C$1:$BN$10,10,FALSE)</f>
        <v>-916</v>
      </c>
      <c r="AL15" s="91" t="str">
        <f t="shared" ref="AL15:AL16" si="30">IF(E15=0," ",IF(AK15&gt;=0,$AK$7,IF(AJ15&gt;=0,$AJ$7,IF(AI15&gt;=0,$AI$7,IF(AH15&gt;=0,$AH$7,IF(AG15&gt;=0,$AG$7,IF(AF15&gt;=0,$AF$7,IF(AE15&gt;=0,$AE$7,IF(AD15&gt;=0,$AD$7,$AC$7)))))))))</f>
        <v>FED +</v>
      </c>
      <c r="AN15" s="5" t="str">
        <f t="shared" ref="AN15:AN16" si="31">IF(AL15="","",AL15)</f>
        <v>FED +</v>
      </c>
      <c r="AO15" s="5">
        <f t="shared" ref="AO15:AO16" si="32">IF(E15=0," ",IF(AK15&gt;=0,AK15,IF(AJ15&gt;=0,AJ15,IF(AI15&gt;=0,AI15,IF(AH15&gt;=0,AH15,IF(AG15&gt;=0,AG15,IF(AF15&gt;=0,AF15,IF(AE15&gt;=0,AE15,IF(AD15&gt;=0,AD15,AC15)))))))))</f>
        <v>4</v>
      </c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</row>
    <row r="16" spans="1:124" s="5" customFormat="1" ht="27.95" customHeight="1" thickBot="1" x14ac:dyDescent="0.25">
      <c r="B16" s="148" t="s">
        <v>125</v>
      </c>
      <c r="C16" s="161">
        <v>401201</v>
      </c>
      <c r="D16" s="92">
        <v>3</v>
      </c>
      <c r="E16" s="84" t="s">
        <v>108</v>
      </c>
      <c r="F16" s="36" t="s">
        <v>317</v>
      </c>
      <c r="G16" s="37" t="s">
        <v>318</v>
      </c>
      <c r="H16" s="92">
        <v>2003</v>
      </c>
      <c r="I16" s="192" t="s">
        <v>583</v>
      </c>
      <c r="J16" s="35" t="s">
        <v>108</v>
      </c>
      <c r="K16" s="103">
        <v>49.25</v>
      </c>
      <c r="L16" s="38">
        <v>33</v>
      </c>
      <c r="M16" s="39">
        <v>35</v>
      </c>
      <c r="N16" s="39">
        <v>-37</v>
      </c>
      <c r="O16" s="54">
        <f t="shared" si="25"/>
        <v>35</v>
      </c>
      <c r="P16" s="53">
        <v>42</v>
      </c>
      <c r="Q16" s="53">
        <v>45</v>
      </c>
      <c r="R16" s="53">
        <v>47</v>
      </c>
      <c r="S16" s="54">
        <f t="shared" si="26"/>
        <v>47</v>
      </c>
      <c r="T16" s="55">
        <f t="shared" si="27"/>
        <v>82</v>
      </c>
      <c r="U16" s="56" t="str">
        <f t="shared" si="28"/>
        <v>FED + 2</v>
      </c>
      <c r="V16" s="86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>FC1 53</v>
      </c>
      <c r="W16" s="62">
        <f t="shared" si="29"/>
        <v>127.38672985751315</v>
      </c>
      <c r="X16" s="63"/>
      <c r="Y16" s="156" t="s">
        <v>319</v>
      </c>
      <c r="AC16" s="90">
        <f>T16-HLOOKUP(V16,Minimas!$C$1:$BN$10,2,FALSE)</f>
        <v>47</v>
      </c>
      <c r="AD16" s="90">
        <f>T16-HLOOKUP(V16,Minimas!$C$1:$BN$10,3,FALSE)</f>
        <v>37</v>
      </c>
      <c r="AE16" s="90">
        <f>T16-HLOOKUP(V16,Minimas!$C$1:$BN$10,4,FALSE)</f>
        <v>27</v>
      </c>
      <c r="AF16" s="90">
        <f>T16-HLOOKUP(V16,Minimas!$C$1:$BN$10,5,FALSE)</f>
        <v>17</v>
      </c>
      <c r="AG16" s="90">
        <f>T16-HLOOKUP(V16,Minimas!$C$1:$BN$10,6,FALSE)</f>
        <v>2</v>
      </c>
      <c r="AH16" s="90">
        <f>T16-HLOOKUP(V16,Minimas!$C$1:$BN$10,7,FALSE)</f>
        <v>-8</v>
      </c>
      <c r="AI16" s="90">
        <f>T16-HLOOKUP(V16,Minimas!$C$1:$BN$10,8,FALSE)</f>
        <v>-18</v>
      </c>
      <c r="AJ16" s="90">
        <f>T16-HLOOKUP(V16,Minimas!$C$1:$BN$10,9,FALSE)</f>
        <v>-28</v>
      </c>
      <c r="AK16" s="90">
        <f>T16-HLOOKUP(V16,Minimas!$C$1:$BN$10,10,FALSE)</f>
        <v>-918</v>
      </c>
      <c r="AL16" s="91" t="str">
        <f t="shared" si="30"/>
        <v>FED +</v>
      </c>
      <c r="AN16" s="5" t="str">
        <f t="shared" si="31"/>
        <v>FED +</v>
      </c>
      <c r="AO16" s="5">
        <f t="shared" si="32"/>
        <v>2</v>
      </c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</row>
    <row r="17" spans="1:124" s="11" customFormat="1" ht="5.0999999999999996" customHeight="1" thickBot="1" x14ac:dyDescent="0.25">
      <c r="A17" s="8"/>
      <c r="B17" s="147"/>
      <c r="C17" s="160"/>
      <c r="D17" s="41"/>
      <c r="E17" s="41"/>
      <c r="F17" s="42"/>
      <c r="G17" s="43"/>
      <c r="H17" s="44"/>
      <c r="I17" s="193"/>
      <c r="J17" s="40"/>
      <c r="K17" s="101"/>
      <c r="L17" s="45"/>
      <c r="M17" s="45"/>
      <c r="N17" s="45"/>
      <c r="O17" s="46"/>
      <c r="P17" s="45"/>
      <c r="Q17" s="45"/>
      <c r="R17" s="45"/>
      <c r="S17" s="46"/>
      <c r="T17" s="46"/>
      <c r="U17" s="41"/>
      <c r="V17" s="48"/>
      <c r="W17" s="47"/>
      <c r="X17" s="7"/>
      <c r="Y17" s="154"/>
      <c r="Z17" s="7"/>
      <c r="AA17" s="7"/>
      <c r="AB17" s="7"/>
      <c r="AC17" s="89" t="s">
        <v>60</v>
      </c>
      <c r="AD17" s="89" t="s">
        <v>61</v>
      </c>
      <c r="AE17" s="89" t="s">
        <v>62</v>
      </c>
      <c r="AF17" s="89" t="s">
        <v>63</v>
      </c>
      <c r="AG17" s="89" t="s">
        <v>64</v>
      </c>
      <c r="AH17" s="89" t="s">
        <v>65</v>
      </c>
      <c r="AI17" s="89" t="s">
        <v>66</v>
      </c>
      <c r="AJ17" s="89" t="s">
        <v>67</v>
      </c>
      <c r="AK17" s="89" t="s">
        <v>68</v>
      </c>
      <c r="AL17" s="89"/>
      <c r="AM17" s="7"/>
      <c r="AN17" s="7"/>
      <c r="AO17" s="7"/>
      <c r="AP17" s="7"/>
      <c r="AQ17" s="7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</row>
    <row r="18" spans="1:124" s="5" customFormat="1" ht="27.95" customHeight="1" x14ac:dyDescent="0.2">
      <c r="B18" s="148" t="s">
        <v>123</v>
      </c>
      <c r="C18" s="161">
        <v>429831</v>
      </c>
      <c r="D18" s="92">
        <v>1</v>
      </c>
      <c r="E18" s="84" t="s">
        <v>108</v>
      </c>
      <c r="F18" s="36" t="s">
        <v>156</v>
      </c>
      <c r="G18" s="37" t="s">
        <v>157</v>
      </c>
      <c r="H18" s="92">
        <v>2003</v>
      </c>
      <c r="I18" s="192" t="s">
        <v>158</v>
      </c>
      <c r="J18" s="35" t="s">
        <v>108</v>
      </c>
      <c r="K18" s="103">
        <v>58</v>
      </c>
      <c r="L18" s="38">
        <v>37</v>
      </c>
      <c r="M18" s="39">
        <v>40</v>
      </c>
      <c r="N18" s="39">
        <v>-42</v>
      </c>
      <c r="O18" s="54">
        <f t="shared" ref="O18" si="33">IF(E18="","",IF(MAXA(L18:N18)&lt;=0,0,MAXA(L18:N18)))</f>
        <v>40</v>
      </c>
      <c r="P18" s="53">
        <v>50</v>
      </c>
      <c r="Q18" s="53">
        <v>-55</v>
      </c>
      <c r="R18" s="53">
        <v>-55</v>
      </c>
      <c r="S18" s="54">
        <f t="shared" ref="S18" si="34">IF(E18="","",IF(MAXA(P18:R18)&lt;=0,0,MAXA(P18:R18)))</f>
        <v>50</v>
      </c>
      <c r="T18" s="55">
        <f t="shared" ref="T18" si="35">IF(E18="","",IF(OR(O18=0,S18=0),0,O18+S18))</f>
        <v>90</v>
      </c>
      <c r="U18" s="56" t="str">
        <f t="shared" ref="U18" si="36">+CONCATENATE(AN18," ",AO18)</f>
        <v>FED + 5</v>
      </c>
      <c r="V18" s="86" t="str">
        <f>IF(E18=0,"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>FC1 58</v>
      </c>
      <c r="W18" s="62">
        <f t="shared" ref="W18" si="37">IF(E18=" "," ",IF(E18="H",10^(0.75194503*LOG(K18/175.508)^2)*T18,IF(E18="F",10^(0.783497476* LOG(K18/153.655)^2)*T18,"")))</f>
        <v>124.3115900785503</v>
      </c>
      <c r="X18" s="63"/>
      <c r="Y18" s="155" t="s">
        <v>441</v>
      </c>
      <c r="AC18" s="90">
        <f>T18-HLOOKUP(V18,Minimas!$C$1:$BN$10,2,FALSE)</f>
        <v>50</v>
      </c>
      <c r="AD18" s="90">
        <f>T18-HLOOKUP(V18,Minimas!$C$1:$BN$10,3,FALSE)</f>
        <v>40</v>
      </c>
      <c r="AE18" s="90">
        <f>T18-HLOOKUP(V18,Minimas!$C$1:$BN$10,4,FALSE)</f>
        <v>30</v>
      </c>
      <c r="AF18" s="90">
        <f>T18-HLOOKUP(V18,Minimas!$C$1:$BN$10,5,FALSE)</f>
        <v>20</v>
      </c>
      <c r="AG18" s="90">
        <f>T18-HLOOKUP(V18,Minimas!$C$1:$BN$10,6,FALSE)</f>
        <v>5</v>
      </c>
      <c r="AH18" s="90">
        <f>T18-HLOOKUP(V18,Minimas!$C$1:$BN$10,7,FALSE)</f>
        <v>-5</v>
      </c>
      <c r="AI18" s="90">
        <f>T18-HLOOKUP(V18,Minimas!$C$1:$BN$10,8,FALSE)</f>
        <v>-15</v>
      </c>
      <c r="AJ18" s="90">
        <f>T18-HLOOKUP(V18,Minimas!$C$1:$BN$10,9,FALSE)</f>
        <v>-30</v>
      </c>
      <c r="AK18" s="90">
        <f>T18-HLOOKUP(V18,Minimas!$C$1:$BN$10,10,FALSE)</f>
        <v>-910</v>
      </c>
      <c r="AL18" s="91" t="str">
        <f t="shared" ref="AL18" si="38">IF(E18=0," ",IF(AK18&gt;=0,$AK$7,IF(AJ18&gt;=0,$AJ$7,IF(AI18&gt;=0,$AI$7,IF(AH18&gt;=0,$AH$7,IF(AG18&gt;=0,$AG$7,IF(AF18&gt;=0,$AF$7,IF(AE18&gt;=0,$AE$7,IF(AD18&gt;=0,$AD$7,$AC$7)))))))))</f>
        <v>FED +</v>
      </c>
      <c r="AN18" s="5" t="str">
        <f t="shared" ref="AN18" si="39">IF(AL18="","",AL18)</f>
        <v>FED +</v>
      </c>
      <c r="AO18" s="5">
        <f t="shared" ref="AO18" si="40">IF(E18=0," ",IF(AK18&gt;=0,AK18,IF(AJ18&gt;=0,AJ18,IF(AI18&gt;=0,AI18,IF(AH18&gt;=0,AH18,IF(AG18&gt;=0,AG18,IF(AF18&gt;=0,AF18,IF(AE18&gt;=0,AE18,IF(AD18&gt;=0,AD18,AC18)))))))))</f>
        <v>5</v>
      </c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</row>
    <row r="19" spans="1:124" s="5" customFormat="1" ht="27.95" customHeight="1" x14ac:dyDescent="0.2">
      <c r="B19" s="148" t="s">
        <v>120</v>
      </c>
      <c r="C19" s="161">
        <v>426655</v>
      </c>
      <c r="D19" s="92">
        <v>2</v>
      </c>
      <c r="E19" s="84" t="s">
        <v>108</v>
      </c>
      <c r="F19" s="36" t="s">
        <v>154</v>
      </c>
      <c r="G19" s="37" t="s">
        <v>155</v>
      </c>
      <c r="H19" s="92">
        <v>2004</v>
      </c>
      <c r="I19" s="192" t="s">
        <v>141</v>
      </c>
      <c r="J19" s="35" t="s">
        <v>108</v>
      </c>
      <c r="K19" s="103">
        <v>56.3</v>
      </c>
      <c r="L19" s="38">
        <v>37</v>
      </c>
      <c r="M19" s="39">
        <v>-40</v>
      </c>
      <c r="N19" s="39">
        <v>-42</v>
      </c>
      <c r="O19" s="54">
        <f t="shared" si="17"/>
        <v>37</v>
      </c>
      <c r="P19" s="53">
        <v>47</v>
      </c>
      <c r="Q19" s="53">
        <v>51</v>
      </c>
      <c r="R19" s="53">
        <v>-54</v>
      </c>
      <c r="S19" s="54">
        <f t="shared" si="18"/>
        <v>51</v>
      </c>
      <c r="T19" s="55">
        <f t="shared" si="19"/>
        <v>88</v>
      </c>
      <c r="U19" s="56" t="str">
        <f t="shared" si="20"/>
        <v>FED + 3</v>
      </c>
      <c r="V19" s="86" t="str">
        <f>IF(E19=0,"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>FC1 58</v>
      </c>
      <c r="W19" s="62">
        <f t="shared" si="21"/>
        <v>124.00767865789346</v>
      </c>
      <c r="X19" s="63"/>
      <c r="Y19" s="155" t="s">
        <v>441</v>
      </c>
      <c r="AC19" s="90">
        <f>T19-HLOOKUP(V19,Minimas!$C$1:$BN$10,2,FALSE)</f>
        <v>48</v>
      </c>
      <c r="AD19" s="90">
        <f>T19-HLOOKUP(V19,Minimas!$C$1:$BN$10,3,FALSE)</f>
        <v>38</v>
      </c>
      <c r="AE19" s="90">
        <f>T19-HLOOKUP(V19,Minimas!$C$1:$BN$10,4,FALSE)</f>
        <v>28</v>
      </c>
      <c r="AF19" s="90">
        <f>T19-HLOOKUP(V19,Minimas!$C$1:$BN$10,5,FALSE)</f>
        <v>18</v>
      </c>
      <c r="AG19" s="90">
        <f>T19-HLOOKUP(V19,Minimas!$C$1:$BN$10,6,FALSE)</f>
        <v>3</v>
      </c>
      <c r="AH19" s="90">
        <f>T19-HLOOKUP(V19,Minimas!$C$1:$BN$10,7,FALSE)</f>
        <v>-7</v>
      </c>
      <c r="AI19" s="90">
        <f>T19-HLOOKUP(V19,Minimas!$C$1:$BN$10,8,FALSE)</f>
        <v>-17</v>
      </c>
      <c r="AJ19" s="90">
        <f>T19-HLOOKUP(V19,Minimas!$C$1:$BN$10,9,FALSE)</f>
        <v>-32</v>
      </c>
      <c r="AK19" s="90">
        <f>T19-HLOOKUP(V19,Minimas!$C$1:$BN$10,10,FALSE)</f>
        <v>-912</v>
      </c>
      <c r="AL19" s="91" t="str">
        <f t="shared" si="22"/>
        <v>FED +</v>
      </c>
      <c r="AN19" s="5" t="str">
        <f t="shared" si="23"/>
        <v>FED +</v>
      </c>
      <c r="AO19" s="5">
        <f t="shared" si="24"/>
        <v>3</v>
      </c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</row>
    <row r="20" spans="1:124" s="5" customFormat="1" ht="27.95" customHeight="1" x14ac:dyDescent="0.2">
      <c r="B20" s="148" t="s">
        <v>129</v>
      </c>
      <c r="C20" s="161">
        <v>429779</v>
      </c>
      <c r="D20" s="92">
        <v>3</v>
      </c>
      <c r="E20" s="84" t="s">
        <v>108</v>
      </c>
      <c r="F20" s="36" t="s">
        <v>320</v>
      </c>
      <c r="G20" s="37" t="s">
        <v>153</v>
      </c>
      <c r="H20" s="92">
        <v>2003</v>
      </c>
      <c r="I20" s="192" t="s">
        <v>321</v>
      </c>
      <c r="J20" s="35" t="s">
        <v>108</v>
      </c>
      <c r="K20" s="103">
        <v>53.8</v>
      </c>
      <c r="L20" s="38">
        <v>33</v>
      </c>
      <c r="M20" s="39">
        <v>35</v>
      </c>
      <c r="N20" s="39">
        <v>37</v>
      </c>
      <c r="O20" s="54">
        <f t="shared" si="17"/>
        <v>37</v>
      </c>
      <c r="P20" s="53">
        <v>43</v>
      </c>
      <c r="Q20" s="53">
        <v>46</v>
      </c>
      <c r="R20" s="53">
        <v>48</v>
      </c>
      <c r="S20" s="54">
        <f t="shared" si="18"/>
        <v>48</v>
      </c>
      <c r="T20" s="55">
        <f t="shared" si="19"/>
        <v>85</v>
      </c>
      <c r="U20" s="56" t="str">
        <f t="shared" si="20"/>
        <v>FED + 0</v>
      </c>
      <c r="V20" s="86" t="str">
        <f>IF(E20=0,"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>FC1 58</v>
      </c>
      <c r="W20" s="62">
        <f t="shared" si="21"/>
        <v>123.64255407332963</v>
      </c>
      <c r="X20" s="63"/>
      <c r="Y20" s="156" t="s">
        <v>319</v>
      </c>
      <c r="AC20" s="90">
        <f>T20-HLOOKUP(V20,Minimas!$C$1:$BN$10,2,FALSE)</f>
        <v>45</v>
      </c>
      <c r="AD20" s="90">
        <f>T20-HLOOKUP(V20,Minimas!$C$1:$BN$10,3,FALSE)</f>
        <v>35</v>
      </c>
      <c r="AE20" s="90">
        <f>T20-HLOOKUP(V20,Minimas!$C$1:$BN$10,4,FALSE)</f>
        <v>25</v>
      </c>
      <c r="AF20" s="90">
        <f>T20-HLOOKUP(V20,Minimas!$C$1:$BN$10,5,FALSE)</f>
        <v>15</v>
      </c>
      <c r="AG20" s="90">
        <f>T20-HLOOKUP(V20,Minimas!$C$1:$BN$10,6,FALSE)</f>
        <v>0</v>
      </c>
      <c r="AH20" s="90">
        <f>T20-HLOOKUP(V20,Minimas!$C$1:$BN$10,7,FALSE)</f>
        <v>-10</v>
      </c>
      <c r="AI20" s="90">
        <f>T20-HLOOKUP(V20,Minimas!$C$1:$BN$10,8,FALSE)</f>
        <v>-20</v>
      </c>
      <c r="AJ20" s="90">
        <f>T20-HLOOKUP(V20,Minimas!$C$1:$BN$10,9,FALSE)</f>
        <v>-35</v>
      </c>
      <c r="AK20" s="90">
        <f>T20-HLOOKUP(V20,Minimas!$C$1:$BN$10,10,FALSE)</f>
        <v>-915</v>
      </c>
      <c r="AL20" s="91" t="str">
        <f t="shared" si="22"/>
        <v>FED +</v>
      </c>
      <c r="AN20" s="5" t="str">
        <f t="shared" si="23"/>
        <v>FED +</v>
      </c>
      <c r="AO20" s="5">
        <f t="shared" si="24"/>
        <v>0</v>
      </c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</row>
    <row r="21" spans="1:124" s="5" customFormat="1" ht="27.95" customHeight="1" thickBot="1" x14ac:dyDescent="0.25">
      <c r="B21" s="148" t="s">
        <v>125</v>
      </c>
      <c r="C21" s="161">
        <v>417868</v>
      </c>
      <c r="D21" s="92">
        <v>4</v>
      </c>
      <c r="E21" s="84" t="s">
        <v>108</v>
      </c>
      <c r="F21" s="36" t="s">
        <v>322</v>
      </c>
      <c r="G21" s="37" t="s">
        <v>323</v>
      </c>
      <c r="H21" s="92">
        <v>2003</v>
      </c>
      <c r="I21" s="192" t="s">
        <v>583</v>
      </c>
      <c r="J21" s="35" t="s">
        <v>108</v>
      </c>
      <c r="K21" s="103">
        <v>57.85</v>
      </c>
      <c r="L21" s="38">
        <v>35</v>
      </c>
      <c r="M21" s="39">
        <v>-38</v>
      </c>
      <c r="N21" s="39">
        <v>38</v>
      </c>
      <c r="O21" s="54">
        <f t="shared" si="17"/>
        <v>38</v>
      </c>
      <c r="P21" s="53">
        <v>45</v>
      </c>
      <c r="Q21" s="53">
        <v>47</v>
      </c>
      <c r="R21" s="53">
        <v>-50</v>
      </c>
      <c r="S21" s="54">
        <f t="shared" si="18"/>
        <v>47</v>
      </c>
      <c r="T21" s="55">
        <f t="shared" si="19"/>
        <v>85</v>
      </c>
      <c r="U21" s="56" t="str">
        <f t="shared" si="20"/>
        <v>FED + 0</v>
      </c>
      <c r="V21" s="86" t="str">
        <f>IF(E21=0,"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>FC1 58</v>
      </c>
      <c r="W21" s="62">
        <f t="shared" si="21"/>
        <v>117.60741021720202</v>
      </c>
      <c r="X21" s="63"/>
      <c r="Y21" s="156" t="s">
        <v>319</v>
      </c>
      <c r="AC21" s="90">
        <f>T21-HLOOKUP(V21,Minimas!$C$1:$BN$10,2,FALSE)</f>
        <v>45</v>
      </c>
      <c r="AD21" s="90">
        <f>T21-HLOOKUP(V21,Minimas!$C$1:$BN$10,3,FALSE)</f>
        <v>35</v>
      </c>
      <c r="AE21" s="90">
        <f>T21-HLOOKUP(V21,Minimas!$C$1:$BN$10,4,FALSE)</f>
        <v>25</v>
      </c>
      <c r="AF21" s="90">
        <f>T21-HLOOKUP(V21,Minimas!$C$1:$BN$10,5,FALSE)</f>
        <v>15</v>
      </c>
      <c r="AG21" s="90">
        <f>T21-HLOOKUP(V21,Minimas!$C$1:$BN$10,6,FALSE)</f>
        <v>0</v>
      </c>
      <c r="AH21" s="90">
        <f>T21-HLOOKUP(V21,Minimas!$C$1:$BN$10,7,FALSE)</f>
        <v>-10</v>
      </c>
      <c r="AI21" s="90">
        <f>T21-HLOOKUP(V21,Minimas!$C$1:$BN$10,8,FALSE)</f>
        <v>-20</v>
      </c>
      <c r="AJ21" s="90">
        <f>T21-HLOOKUP(V21,Minimas!$C$1:$BN$10,9,FALSE)</f>
        <v>-35</v>
      </c>
      <c r="AK21" s="90">
        <f>T21-HLOOKUP(V21,Minimas!$C$1:$BN$10,10,FALSE)</f>
        <v>-915</v>
      </c>
      <c r="AL21" s="91" t="str">
        <f t="shared" si="22"/>
        <v>FED +</v>
      </c>
      <c r="AN21" s="5" t="str">
        <f t="shared" si="23"/>
        <v>FED +</v>
      </c>
      <c r="AO21" s="5">
        <f t="shared" si="24"/>
        <v>0</v>
      </c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</row>
    <row r="22" spans="1:124" s="11" customFormat="1" ht="5.0999999999999996" customHeight="1" thickBot="1" x14ac:dyDescent="0.25">
      <c r="A22" s="8"/>
      <c r="B22" s="147"/>
      <c r="C22" s="160"/>
      <c r="D22" s="41"/>
      <c r="E22" s="41"/>
      <c r="F22" s="42"/>
      <c r="G22" s="43"/>
      <c r="H22" s="44"/>
      <c r="I22" s="193"/>
      <c r="J22" s="40"/>
      <c r="K22" s="101"/>
      <c r="L22" s="45"/>
      <c r="M22" s="45"/>
      <c r="N22" s="45"/>
      <c r="O22" s="46"/>
      <c r="P22" s="45"/>
      <c r="Q22" s="45"/>
      <c r="R22" s="45"/>
      <c r="S22" s="46"/>
      <c r="T22" s="46"/>
      <c r="U22" s="41"/>
      <c r="V22" s="48"/>
      <c r="W22" s="47"/>
      <c r="X22" s="7"/>
      <c r="Y22" s="154"/>
      <c r="Z22" s="7"/>
      <c r="AA22" s="7"/>
      <c r="AB22" s="7"/>
      <c r="AC22" s="89" t="s">
        <v>60</v>
      </c>
      <c r="AD22" s="89" t="s">
        <v>61</v>
      </c>
      <c r="AE22" s="89" t="s">
        <v>62</v>
      </c>
      <c r="AF22" s="89" t="s">
        <v>63</v>
      </c>
      <c r="AG22" s="89" t="s">
        <v>64</v>
      </c>
      <c r="AH22" s="89" t="s">
        <v>65</v>
      </c>
      <c r="AI22" s="89" t="s">
        <v>66</v>
      </c>
      <c r="AJ22" s="89" t="s">
        <v>67</v>
      </c>
      <c r="AK22" s="89" t="s">
        <v>68</v>
      </c>
      <c r="AL22" s="89"/>
      <c r="AM22" s="7"/>
      <c r="AN22" s="7"/>
      <c r="AO22" s="7"/>
      <c r="AP22" s="7"/>
      <c r="AQ22" s="7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</row>
    <row r="23" spans="1:124" s="5" customFormat="1" ht="27.95" customHeight="1" x14ac:dyDescent="0.2">
      <c r="B23" s="201" t="s">
        <v>123</v>
      </c>
      <c r="C23" s="202">
        <v>429831</v>
      </c>
      <c r="D23" s="106">
        <v>1</v>
      </c>
      <c r="E23" s="107" t="s">
        <v>108</v>
      </c>
      <c r="F23" s="108" t="s">
        <v>156</v>
      </c>
      <c r="G23" s="109" t="s">
        <v>581</v>
      </c>
      <c r="H23" s="106">
        <v>2003</v>
      </c>
      <c r="I23" s="204" t="s">
        <v>158</v>
      </c>
      <c r="J23" s="110" t="s">
        <v>108</v>
      </c>
      <c r="K23" s="111">
        <v>58.2</v>
      </c>
      <c r="L23" s="112">
        <v>33</v>
      </c>
      <c r="M23" s="113">
        <v>36</v>
      </c>
      <c r="N23" s="113">
        <v>38</v>
      </c>
      <c r="O23" s="114">
        <f t="shared" ref="O23" si="41">IF(E23="","",IF(MAXA(L23:N23)&lt;=0,0,MAXA(L23:N23)))</f>
        <v>38</v>
      </c>
      <c r="P23" s="115">
        <v>46</v>
      </c>
      <c r="Q23" s="115">
        <v>50</v>
      </c>
      <c r="R23" s="115">
        <v>52</v>
      </c>
      <c r="S23" s="114">
        <f t="shared" ref="S23" si="42">IF(E23="","",IF(MAXA(P23:R23)&lt;=0,0,MAXA(P23:R23)))</f>
        <v>52</v>
      </c>
      <c r="T23" s="116">
        <f t="shared" ref="T23" si="43">IF(E23="","",IF(OR(O23=0,S23=0),0,O23+S23))</f>
        <v>90</v>
      </c>
      <c r="U23" s="117" t="str">
        <f t="shared" ref="U23" si="44">+CONCATENATE(AN23," ",AO23)</f>
        <v>FED + 0</v>
      </c>
      <c r="V23" s="118" t="str">
        <f>IF(E23=0,"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>FC1 63</v>
      </c>
      <c r="W23" s="119">
        <f t="shared" ref="W23" si="45">IF(E23=" "," ",IF(E23="H",10^(0.75194503*LOG(K23/175.508)^2)*T23,IF(E23="F",10^(0.783497476* LOG(K23/153.655)^2)*T23,"")))</f>
        <v>124.02868992832849</v>
      </c>
      <c r="X23" s="63"/>
      <c r="Y23" s="157" t="s">
        <v>131</v>
      </c>
      <c r="AC23" s="90">
        <f>T23-HLOOKUP(V23,Minimas!$C$1:$BN$10,2,FALSE)</f>
        <v>45</v>
      </c>
      <c r="AD23" s="90">
        <f>T23-HLOOKUP(V23,Minimas!$C$1:$BN$10,3,FALSE)</f>
        <v>35</v>
      </c>
      <c r="AE23" s="90">
        <f>T23-HLOOKUP(V23,Minimas!$C$1:$BN$10,4,FALSE)</f>
        <v>25</v>
      </c>
      <c r="AF23" s="90">
        <f>T23-HLOOKUP(V23,Minimas!$C$1:$BN$10,5,FALSE)</f>
        <v>15</v>
      </c>
      <c r="AG23" s="90">
        <f>T23-HLOOKUP(V23,Minimas!$C$1:$BN$10,6,FALSE)</f>
        <v>0</v>
      </c>
      <c r="AH23" s="90">
        <f>T23-HLOOKUP(V23,Minimas!$C$1:$BN$10,7,FALSE)</f>
        <v>-10</v>
      </c>
      <c r="AI23" s="90">
        <f>T23-HLOOKUP(V23,Minimas!$C$1:$BN$10,8,FALSE)</f>
        <v>-25</v>
      </c>
      <c r="AJ23" s="90">
        <f>T23-HLOOKUP(V23,Minimas!$C$1:$BN$10,9,FALSE)</f>
        <v>-40</v>
      </c>
      <c r="AK23" s="90">
        <f>T23-HLOOKUP(V23,Minimas!$C$1:$BN$10,10,FALSE)</f>
        <v>-910</v>
      </c>
      <c r="AL23" s="91" t="str">
        <f t="shared" ref="AL23" si="46">IF(E23=0," ",IF(AK23&gt;=0,$AK$7,IF(AJ23&gt;=0,$AJ$7,IF(AI23&gt;=0,$AI$7,IF(AH23&gt;=0,$AH$7,IF(AG23&gt;=0,$AG$7,IF(AF23&gt;=0,$AF$7,IF(AE23&gt;=0,$AE$7,IF(AD23&gt;=0,$AD$7,$AC$7)))))))))</f>
        <v>FED +</v>
      </c>
      <c r="AN23" s="5" t="str">
        <f t="shared" ref="AN23" si="47">IF(AL23="","",AL23)</f>
        <v>FED +</v>
      </c>
      <c r="AO23" s="5">
        <f t="shared" ref="AO23" si="48">IF(E23=0," ",IF(AK23&gt;=0,AK23,IF(AJ23&gt;=0,AJ23,IF(AI23&gt;=0,AI23,IF(AH23&gt;=0,AH23,IF(AG23&gt;=0,AG23,IF(AF23&gt;=0,AF23,IF(AE23&gt;=0,AE23,IF(AD23&gt;=0,AD23,AC23)))))))))</f>
        <v>0</v>
      </c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</row>
    <row r="24" spans="1:124" s="5" customFormat="1" ht="27.95" customHeight="1" thickBot="1" x14ac:dyDescent="0.25">
      <c r="B24" s="148" t="s">
        <v>120</v>
      </c>
      <c r="C24" s="161">
        <v>416999</v>
      </c>
      <c r="D24" s="92">
        <v>2</v>
      </c>
      <c r="E24" s="84" t="s">
        <v>108</v>
      </c>
      <c r="F24" s="36" t="s">
        <v>442</v>
      </c>
      <c r="G24" s="37" t="s">
        <v>443</v>
      </c>
      <c r="H24" s="92">
        <v>2004</v>
      </c>
      <c r="I24" s="192" t="s">
        <v>137</v>
      </c>
      <c r="J24" s="35" t="s">
        <v>108</v>
      </c>
      <c r="K24" s="103">
        <v>62.4</v>
      </c>
      <c r="L24" s="38">
        <v>36</v>
      </c>
      <c r="M24" s="39">
        <v>-40</v>
      </c>
      <c r="N24" s="39">
        <v>40</v>
      </c>
      <c r="O24" s="54">
        <f t="shared" si="17"/>
        <v>40</v>
      </c>
      <c r="P24" s="53">
        <v>46</v>
      </c>
      <c r="Q24" s="53">
        <v>50</v>
      </c>
      <c r="R24" s="53">
        <v>-52</v>
      </c>
      <c r="S24" s="54">
        <f t="shared" si="18"/>
        <v>50</v>
      </c>
      <c r="T24" s="55">
        <f t="shared" si="19"/>
        <v>90</v>
      </c>
      <c r="U24" s="56" t="str">
        <f t="shared" si="20"/>
        <v>FED + 0</v>
      </c>
      <c r="V24" s="86" t="str">
        <f>IF(E24=0,"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>FC1 63</v>
      </c>
      <c r="W24" s="62">
        <f t="shared" si="21"/>
        <v>118.64415596869202</v>
      </c>
      <c r="X24" s="63"/>
      <c r="Y24" s="155" t="s">
        <v>441</v>
      </c>
      <c r="AC24" s="90">
        <f>T24-HLOOKUP(V24,Minimas!$C$1:$BN$10,2,FALSE)</f>
        <v>45</v>
      </c>
      <c r="AD24" s="90">
        <f>T24-HLOOKUP(V24,Minimas!$C$1:$BN$10,3,FALSE)</f>
        <v>35</v>
      </c>
      <c r="AE24" s="90">
        <f>T24-HLOOKUP(V24,Minimas!$C$1:$BN$10,4,FALSE)</f>
        <v>25</v>
      </c>
      <c r="AF24" s="90">
        <f>T24-HLOOKUP(V24,Minimas!$C$1:$BN$10,5,FALSE)</f>
        <v>15</v>
      </c>
      <c r="AG24" s="90">
        <f>T24-HLOOKUP(V24,Minimas!$C$1:$BN$10,6,FALSE)</f>
        <v>0</v>
      </c>
      <c r="AH24" s="90">
        <f>T24-HLOOKUP(V24,Minimas!$C$1:$BN$10,7,FALSE)</f>
        <v>-10</v>
      </c>
      <c r="AI24" s="90">
        <f>T24-HLOOKUP(V24,Minimas!$C$1:$BN$10,8,FALSE)</f>
        <v>-25</v>
      </c>
      <c r="AJ24" s="90">
        <f>T24-HLOOKUP(V24,Minimas!$C$1:$BN$10,9,FALSE)</f>
        <v>-40</v>
      </c>
      <c r="AK24" s="90">
        <f>T24-HLOOKUP(V24,Minimas!$C$1:$BN$10,10,FALSE)</f>
        <v>-910</v>
      </c>
      <c r="AL24" s="91" t="str">
        <f t="shared" si="22"/>
        <v>FED +</v>
      </c>
      <c r="AN24" s="5" t="str">
        <f t="shared" si="23"/>
        <v>FED +</v>
      </c>
      <c r="AO24" s="5">
        <f t="shared" si="24"/>
        <v>0</v>
      </c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</row>
    <row r="25" spans="1:124" s="11" customFormat="1" ht="5.0999999999999996" customHeight="1" thickBot="1" x14ac:dyDescent="0.25">
      <c r="A25" s="8"/>
      <c r="B25" s="147"/>
      <c r="C25" s="160"/>
      <c r="D25" s="41"/>
      <c r="E25" s="41"/>
      <c r="F25" s="42"/>
      <c r="G25" s="43"/>
      <c r="H25" s="44"/>
      <c r="I25" s="193"/>
      <c r="J25" s="40"/>
      <c r="K25" s="101"/>
      <c r="L25" s="45"/>
      <c r="M25" s="45"/>
      <c r="N25" s="45"/>
      <c r="O25" s="46"/>
      <c r="P25" s="45"/>
      <c r="Q25" s="45"/>
      <c r="R25" s="45"/>
      <c r="S25" s="46"/>
      <c r="T25" s="46"/>
      <c r="U25" s="41"/>
      <c r="V25" s="48"/>
      <c r="W25" s="47"/>
      <c r="X25" s="7"/>
      <c r="Y25" s="154"/>
      <c r="Z25" s="7"/>
      <c r="AA25" s="7"/>
      <c r="AB25" s="7"/>
      <c r="AC25" s="89" t="s">
        <v>60</v>
      </c>
      <c r="AD25" s="89" t="s">
        <v>61</v>
      </c>
      <c r="AE25" s="89" t="s">
        <v>62</v>
      </c>
      <c r="AF25" s="89" t="s">
        <v>63</v>
      </c>
      <c r="AG25" s="89" t="s">
        <v>64</v>
      </c>
      <c r="AH25" s="89" t="s">
        <v>65</v>
      </c>
      <c r="AI25" s="89" t="s">
        <v>66</v>
      </c>
      <c r="AJ25" s="89" t="s">
        <v>67</v>
      </c>
      <c r="AK25" s="89" t="s">
        <v>68</v>
      </c>
      <c r="AL25" s="89"/>
      <c r="AM25" s="7"/>
      <c r="AN25" s="7"/>
      <c r="AO25" s="7"/>
      <c r="AP25" s="7"/>
      <c r="AQ25" s="7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</row>
    <row r="26" spans="1:124" s="5" customFormat="1" ht="27.95" customHeight="1" thickBot="1" x14ac:dyDescent="0.25">
      <c r="B26" s="148" t="s">
        <v>324</v>
      </c>
      <c r="C26" s="161">
        <v>437137</v>
      </c>
      <c r="D26" s="92">
        <v>1</v>
      </c>
      <c r="E26" s="84" t="s">
        <v>108</v>
      </c>
      <c r="F26" s="36" t="s">
        <v>325</v>
      </c>
      <c r="G26" s="37" t="s">
        <v>582</v>
      </c>
      <c r="H26" s="92">
        <v>2003</v>
      </c>
      <c r="I26" s="192" t="s">
        <v>383</v>
      </c>
      <c r="J26" s="35" t="s">
        <v>108</v>
      </c>
      <c r="K26" s="103">
        <v>98.5</v>
      </c>
      <c r="L26" s="38">
        <v>45</v>
      </c>
      <c r="M26" s="39">
        <v>48</v>
      </c>
      <c r="N26" s="39">
        <v>-50</v>
      </c>
      <c r="O26" s="54">
        <f t="shared" ref="O26" si="49">IF(E26="","",IF(MAXA(L26:N26)&lt;=0,0,MAXA(L26:N26)))</f>
        <v>48</v>
      </c>
      <c r="P26" s="53">
        <v>55</v>
      </c>
      <c r="Q26" s="53">
        <v>60</v>
      </c>
      <c r="R26" s="53">
        <v>62</v>
      </c>
      <c r="S26" s="54">
        <f t="shared" ref="S26" si="50">IF(E26="","",IF(MAXA(P26:R26)&lt;=0,0,MAXA(P26:R26)))</f>
        <v>62</v>
      </c>
      <c r="T26" s="55">
        <f t="shared" ref="T26" si="51">IF(E26="","",IF(OR(O26=0,S26=0),0,O26+S26))</f>
        <v>110</v>
      </c>
      <c r="U26" s="56" t="str">
        <f t="shared" ref="U26" si="52">+CONCATENATE(AN26," ",AO26)</f>
        <v>FED + 5</v>
      </c>
      <c r="V26" s="86" t="str">
        <f>IF(E26=0," ",IF(E26="H",IF(OR(E26="SEN",H26&lt;1998),VLOOKUP(K26,Minimas!$A$11:$G$29,6),IF(AND(H26&gt;1997,H26&lt;2001),VLOOKUP(K26,Minimas!$A$11:$G$29,5),IF(AND(H26&gt;2000,H26&lt;2003),VLOOKUP(K26,Minimas!$A$11:$G$29,4),IF(AND(H26&gt;2002,H26&lt;2005),VLOOKUP(K26,Minimas!$A$11:$G$29,3),VLOOKUP(K26,Minimas!$A$11:$G$29,2))))),IF(OR(H26="SEN",H26&lt;1998),VLOOKUP(K26,Minimas!$G$11:$L$26,6),IF(AND(H26&gt;1997,H26&lt;2001),VLOOKUP(K26,Minimas!$G$11:$L$26,5),IF(AND(H26&gt;2000,H26&lt;2003),VLOOKUP(K26,Minimas!$G$11:$L$26,4),IF(AND(H26&gt;2002,H26&lt;2005),VLOOKUP(K26,Minimas!$G$11:$L$26,3),VLOOKUP(K26,Minimas!$G$11:$L$26,2)))))))</f>
        <v>FC1 +69</v>
      </c>
      <c r="W26" s="62">
        <f t="shared" ref="W26" si="53">IF(E26=" "," ",IF(E26="H",10^(0.75194503*LOG(K26/175.508)^2)*T26,IF(E26="F",10^(0.783497476* LOG(K26/153.655)^2)*T26,"")))</f>
        <v>117.65505754182409</v>
      </c>
      <c r="X26" s="63"/>
      <c r="Y26" s="156" t="s">
        <v>319</v>
      </c>
      <c r="AC26" s="90">
        <f>T26-HLOOKUP(V26,Minimas!$C$1:$BN$10,2,FALSE)</f>
        <v>50</v>
      </c>
      <c r="AD26" s="90">
        <f>T26-HLOOKUP(V26,Minimas!$C$1:$BN$10,3,FALSE)</f>
        <v>40</v>
      </c>
      <c r="AE26" s="90">
        <f>T26-HLOOKUP(V26,Minimas!$C$1:$BN$10,4,FALSE)</f>
        <v>30</v>
      </c>
      <c r="AF26" s="90">
        <f>T26-HLOOKUP(V26,Minimas!$C$1:$BN$10,5,FALSE)</f>
        <v>20</v>
      </c>
      <c r="AG26" s="90">
        <f>T26-HLOOKUP(V26,Minimas!$C$1:$BN$10,6,FALSE)</f>
        <v>5</v>
      </c>
      <c r="AH26" s="90">
        <f>T26-HLOOKUP(V26,Minimas!$C$1:$BN$10,7,FALSE)</f>
        <v>-5</v>
      </c>
      <c r="AI26" s="90">
        <f>T26-HLOOKUP(V26,Minimas!$C$1:$BN$10,8,FALSE)</f>
        <v>-20</v>
      </c>
      <c r="AJ26" s="90">
        <f>T26-HLOOKUP(V26,Minimas!$C$1:$BN$10,9,FALSE)</f>
        <v>-35</v>
      </c>
      <c r="AK26" s="90">
        <f>T26-HLOOKUP(V26,Minimas!$C$1:$BN$10,10,FALSE)</f>
        <v>-890</v>
      </c>
      <c r="AL26" s="91" t="str">
        <f t="shared" ref="AL26" si="54">IF(E26=0," ",IF(AK26&gt;=0,$AK$7,IF(AJ26&gt;=0,$AJ$7,IF(AI26&gt;=0,$AI$7,IF(AH26&gt;=0,$AH$7,IF(AG26&gt;=0,$AG$7,IF(AF26&gt;=0,$AF$7,IF(AE26&gt;=0,$AE$7,IF(AD26&gt;=0,$AD$7,$AC$7)))))))))</f>
        <v>FED +</v>
      </c>
      <c r="AN26" s="5" t="str">
        <f t="shared" ref="AN26" si="55">IF(AL26="","",AL26)</f>
        <v>FED +</v>
      </c>
      <c r="AO26" s="5">
        <f t="shared" ref="AO26" si="56">IF(E26=0," ",IF(AK26&gt;=0,AK26,IF(AJ26&gt;=0,AJ26,IF(AI26&gt;=0,AI26,IF(AH26&gt;=0,AH26,IF(AG26&gt;=0,AG26,IF(AF26&gt;=0,AF26,IF(AE26&gt;=0,AE26,IF(AD26&gt;=0,AD26,AC26)))))))))</f>
        <v>5</v>
      </c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</row>
    <row r="27" spans="1:124" s="11" customFormat="1" ht="18" customHeight="1" x14ac:dyDescent="0.2">
      <c r="A27" s="8"/>
      <c r="B27" s="164"/>
      <c r="C27" s="165"/>
      <c r="D27" s="166"/>
      <c r="E27" s="166"/>
      <c r="F27" s="167"/>
      <c r="G27" s="168"/>
      <c r="H27" s="169"/>
      <c r="I27" s="200"/>
      <c r="J27" s="171"/>
      <c r="K27" s="172"/>
      <c r="L27" s="173"/>
      <c r="M27" s="173"/>
      <c r="N27" s="173"/>
      <c r="O27" s="174"/>
      <c r="P27" s="173"/>
      <c r="Q27" s="173"/>
      <c r="R27" s="173"/>
      <c r="S27" s="174"/>
      <c r="T27" s="174"/>
      <c r="U27" s="166"/>
      <c r="V27" s="175"/>
      <c r="W27" s="176"/>
      <c r="X27" s="7"/>
      <c r="Y27" s="177"/>
      <c r="Z27" s="7"/>
      <c r="AA27" s="7"/>
      <c r="AB27" s="89"/>
      <c r="AC27" s="89" t="s">
        <v>60</v>
      </c>
      <c r="AD27" s="89" t="s">
        <v>61</v>
      </c>
      <c r="AE27" s="89" t="s">
        <v>62</v>
      </c>
      <c r="AF27" s="89" t="s">
        <v>63</v>
      </c>
      <c r="AG27" s="89" t="s">
        <v>64</v>
      </c>
      <c r="AH27" s="89" t="s">
        <v>65</v>
      </c>
      <c r="AI27" s="89" t="s">
        <v>66</v>
      </c>
      <c r="AJ27" s="89" t="s">
        <v>67</v>
      </c>
      <c r="AK27" s="89" t="s">
        <v>68</v>
      </c>
      <c r="AL27" s="7"/>
      <c r="AM27" s="7"/>
      <c r="AN27" s="7"/>
      <c r="AO27" s="7"/>
      <c r="AP27" s="7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</row>
    <row r="28" spans="1:124" s="5" customFormat="1" ht="27.95" customHeight="1" x14ac:dyDescent="0.2">
      <c r="B28" s="227" t="s">
        <v>113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5" t="str">
        <f t="shared" ref="Z28" si="57">IF(P28=0," ",MAXA(P28+Q28,Q28+R28,P28+R28))</f>
        <v xml:space="preserve"> </v>
      </c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</row>
    <row r="29" spans="1:124" s="11" customFormat="1" ht="5.0999999999999996" customHeight="1" thickBot="1" x14ac:dyDescent="0.25">
      <c r="A29" s="8"/>
      <c r="B29" s="178"/>
      <c r="C29" s="179"/>
      <c r="D29" s="180"/>
      <c r="E29" s="180"/>
      <c r="F29" s="181"/>
      <c r="G29" s="182"/>
      <c r="H29" s="183"/>
      <c r="I29" s="206"/>
      <c r="J29" s="185"/>
      <c r="K29" s="186"/>
      <c r="L29" s="187"/>
      <c r="M29" s="187"/>
      <c r="N29" s="187"/>
      <c r="O29" s="188"/>
      <c r="P29" s="187"/>
      <c r="Q29" s="187"/>
      <c r="R29" s="187"/>
      <c r="S29" s="188"/>
      <c r="T29" s="188"/>
      <c r="U29" s="180"/>
      <c r="V29" s="189"/>
      <c r="W29" s="190"/>
      <c r="X29" s="7"/>
      <c r="Y29" s="191"/>
      <c r="Z29" s="7"/>
      <c r="AA29" s="7"/>
      <c r="AB29" s="7"/>
      <c r="AC29" s="89" t="s">
        <v>60</v>
      </c>
      <c r="AD29" s="89" t="s">
        <v>61</v>
      </c>
      <c r="AE29" s="89" t="s">
        <v>62</v>
      </c>
      <c r="AF29" s="89" t="s">
        <v>63</v>
      </c>
      <c r="AG29" s="89" t="s">
        <v>64</v>
      </c>
      <c r="AH29" s="89" t="s">
        <v>65</v>
      </c>
      <c r="AI29" s="89" t="s">
        <v>66</v>
      </c>
      <c r="AJ29" s="89" t="s">
        <v>67</v>
      </c>
      <c r="AK29" s="89" t="s">
        <v>68</v>
      </c>
      <c r="AL29" s="89"/>
      <c r="AM29" s="7"/>
      <c r="AN29" s="7"/>
      <c r="AO29" s="7"/>
      <c r="AP29" s="7"/>
      <c r="AQ29" s="7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</row>
    <row r="30" spans="1:124" s="20" customFormat="1" ht="18" customHeight="1" thickBot="1" x14ac:dyDescent="0.25">
      <c r="A30" s="17"/>
      <c r="B30" s="146" t="s">
        <v>8</v>
      </c>
      <c r="C30" s="153" t="s">
        <v>9</v>
      </c>
      <c r="D30" s="142" t="s">
        <v>6</v>
      </c>
      <c r="E30" s="142" t="s">
        <v>69</v>
      </c>
      <c r="F30" s="210" t="s">
        <v>0</v>
      </c>
      <c r="G30" s="210"/>
      <c r="H30" s="142" t="s">
        <v>11</v>
      </c>
      <c r="I30" s="207" t="s">
        <v>10</v>
      </c>
      <c r="J30" s="64" t="s">
        <v>5</v>
      </c>
      <c r="K30" s="64" t="s">
        <v>1</v>
      </c>
      <c r="L30" s="22">
        <v>1</v>
      </c>
      <c r="M30" s="23">
        <v>2</v>
      </c>
      <c r="N30" s="23">
        <v>3</v>
      </c>
      <c r="O30" s="24" t="s">
        <v>12</v>
      </c>
      <c r="P30" s="22">
        <v>1</v>
      </c>
      <c r="Q30" s="23">
        <v>2</v>
      </c>
      <c r="R30" s="23">
        <v>3</v>
      </c>
      <c r="S30" s="24" t="s">
        <v>13</v>
      </c>
      <c r="T30" s="25" t="s">
        <v>2</v>
      </c>
      <c r="U30" s="64" t="s">
        <v>3</v>
      </c>
      <c r="V30" s="64" t="s">
        <v>7</v>
      </c>
      <c r="W30" s="21" t="s">
        <v>4</v>
      </c>
      <c r="X30" s="61"/>
      <c r="Y30" s="153" t="s">
        <v>313</v>
      </c>
      <c r="Z30" s="18"/>
      <c r="AA30" s="18"/>
      <c r="AB30" s="18"/>
      <c r="AC30" s="87" t="s">
        <v>107</v>
      </c>
      <c r="AD30" s="87" t="s">
        <v>106</v>
      </c>
      <c r="AE30" s="87" t="s">
        <v>62</v>
      </c>
      <c r="AF30" s="87" t="s">
        <v>63</v>
      </c>
      <c r="AG30" s="87" t="s">
        <v>64</v>
      </c>
      <c r="AH30" s="87" t="s">
        <v>65</v>
      </c>
      <c r="AI30" s="87" t="s">
        <v>66</v>
      </c>
      <c r="AJ30" s="87" t="s">
        <v>67</v>
      </c>
      <c r="AK30" s="87" t="s">
        <v>68</v>
      </c>
      <c r="AL30" s="88"/>
      <c r="AM30" s="19"/>
      <c r="AN30" s="19"/>
      <c r="AO30" s="19"/>
      <c r="AP30" s="19"/>
      <c r="AQ30" s="19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</row>
    <row r="31" spans="1:124" s="11" customFormat="1" ht="5.0999999999999996" customHeight="1" thickBot="1" x14ac:dyDescent="0.25">
      <c r="A31" s="8"/>
      <c r="B31" s="178"/>
      <c r="C31" s="179"/>
      <c r="D31" s="180"/>
      <c r="E31" s="180"/>
      <c r="F31" s="181"/>
      <c r="G31" s="182"/>
      <c r="H31" s="183"/>
      <c r="I31" s="206"/>
      <c r="J31" s="185"/>
      <c r="K31" s="186"/>
      <c r="L31" s="187"/>
      <c r="M31" s="187"/>
      <c r="N31" s="187"/>
      <c r="O31" s="188"/>
      <c r="P31" s="187"/>
      <c r="Q31" s="187"/>
      <c r="R31" s="187"/>
      <c r="S31" s="188"/>
      <c r="T31" s="188"/>
      <c r="U31" s="180"/>
      <c r="V31" s="189"/>
      <c r="W31" s="190"/>
      <c r="X31" s="7"/>
      <c r="Y31" s="191"/>
      <c r="Z31" s="7"/>
      <c r="AA31" s="7"/>
      <c r="AB31" s="7"/>
      <c r="AC31" s="89" t="s">
        <v>60</v>
      </c>
      <c r="AD31" s="89" t="s">
        <v>61</v>
      </c>
      <c r="AE31" s="89" t="s">
        <v>62</v>
      </c>
      <c r="AF31" s="89" t="s">
        <v>63</v>
      </c>
      <c r="AG31" s="89" t="s">
        <v>64</v>
      </c>
      <c r="AH31" s="89" t="s">
        <v>65</v>
      </c>
      <c r="AI31" s="89" t="s">
        <v>66</v>
      </c>
      <c r="AJ31" s="89" t="s">
        <v>67</v>
      </c>
      <c r="AK31" s="89" t="s">
        <v>68</v>
      </c>
      <c r="AL31" s="89"/>
      <c r="AM31" s="7"/>
      <c r="AN31" s="7"/>
      <c r="AO31" s="7"/>
      <c r="AP31" s="7"/>
      <c r="AQ31" s="7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</row>
    <row r="32" spans="1:124" s="5" customFormat="1" ht="27.95" customHeight="1" thickBot="1" x14ac:dyDescent="0.25">
      <c r="B32" s="148" t="s">
        <v>123</v>
      </c>
      <c r="C32" s="161">
        <v>191333</v>
      </c>
      <c r="D32" s="92">
        <v>1</v>
      </c>
      <c r="E32" s="84" t="s">
        <v>108</v>
      </c>
      <c r="F32" s="36" t="s">
        <v>222</v>
      </c>
      <c r="G32" s="37" t="s">
        <v>592</v>
      </c>
      <c r="H32" s="92">
        <v>2001</v>
      </c>
      <c r="I32" s="192" t="s">
        <v>223</v>
      </c>
      <c r="J32" s="35" t="s">
        <v>108</v>
      </c>
      <c r="K32" s="103">
        <v>41.1</v>
      </c>
      <c r="L32" s="38">
        <v>-30</v>
      </c>
      <c r="M32" s="39">
        <v>30</v>
      </c>
      <c r="N32" s="39">
        <v>32</v>
      </c>
      <c r="O32" s="54">
        <f t="shared" ref="O32" si="58">IF(E32="","",IF(MAXA(L32:N32)&lt;=0,0,MAXA(L32:N32)))</f>
        <v>32</v>
      </c>
      <c r="P32" s="53">
        <v>40</v>
      </c>
      <c r="Q32" s="53">
        <v>43</v>
      </c>
      <c r="R32" s="53">
        <v>45</v>
      </c>
      <c r="S32" s="54">
        <f t="shared" ref="S32" si="59">IF(E32="","",IF(MAXA(P32:R32)&lt;=0,0,MAXA(P32:R32)))</f>
        <v>45</v>
      </c>
      <c r="T32" s="55">
        <f t="shared" ref="T32" si="60">IF(E32="","",IF(OR(O32=0,S32=0),0,O32+S32))</f>
        <v>77</v>
      </c>
      <c r="U32" s="56" t="str">
        <f t="shared" ref="U32" si="61">+CONCATENATE(AN32," ",AO32)</f>
        <v>FED + 2</v>
      </c>
      <c r="V32" s="86" t="str">
        <f>IF(E32=0," ",IF(E32="H",IF(OR(E32="SEN",H32&lt;1998),VLOOKUP(K32,Minimas!$A$11:$G$29,6),IF(AND(H32&gt;1997,H32&lt;2001),VLOOKUP(K32,Minimas!$A$11:$G$29,5),IF(AND(H32&gt;2000,H32&lt;2003),VLOOKUP(K32,Minimas!$A$11:$G$29,4),IF(AND(H32&gt;2002,H32&lt;2005),VLOOKUP(K32,Minimas!$A$11:$G$29,3),VLOOKUP(K32,Minimas!$A$11:$G$29,2))))),IF(OR(H32="SEN",H32&lt;1998),VLOOKUP(K32,Minimas!$G$11:$L$26,6),IF(AND(H32&gt;1997,H32&lt;2001),VLOOKUP(K32,Minimas!$G$11:$L$26,5),IF(AND(H32&gt;2000,H32&lt;2003),VLOOKUP(K32,Minimas!$G$11:$L$26,4),IF(AND(H32&gt;2002,H32&lt;2005),VLOOKUP(K32,Minimas!$G$11:$L$26,3),VLOOKUP(K32,Minimas!$G$11:$L$26,2)))))))</f>
        <v>FC2 44</v>
      </c>
      <c r="W32" s="62">
        <f t="shared" ref="W32" si="62">IF(E32=" "," ",IF(E32="H",10^(0.75194503*LOG(K32/175.508)^2)*T32,IF(E32="F",10^(0.783497476* LOG(K32/153.655)^2)*T32,"")))</f>
        <v>139.14600665540192</v>
      </c>
      <c r="X32" s="63"/>
      <c r="Y32" s="155" t="s">
        <v>441</v>
      </c>
      <c r="AC32" s="90">
        <f>T32-HLOOKUP(V32,Minimas!$C$1:$BN$10,2,FALSE)</f>
        <v>47</v>
      </c>
      <c r="AD32" s="90">
        <f>T32-HLOOKUP(V32,Minimas!$C$1:$BN$10,3,FALSE)</f>
        <v>37</v>
      </c>
      <c r="AE32" s="90">
        <f>T32-HLOOKUP(V32,Minimas!$C$1:$BN$10,4,FALSE)</f>
        <v>27</v>
      </c>
      <c r="AF32" s="90">
        <f>T32-HLOOKUP(V32,Minimas!$C$1:$BN$10,5,FALSE)</f>
        <v>17</v>
      </c>
      <c r="AG32" s="90">
        <f>T32-HLOOKUP(V32,Minimas!$C$1:$BN$10,6,FALSE)</f>
        <v>2</v>
      </c>
      <c r="AH32" s="90">
        <f>T32-HLOOKUP(V32,Minimas!$C$1:$BN$10,7,FALSE)</f>
        <v>-8</v>
      </c>
      <c r="AI32" s="90">
        <f>T32-HLOOKUP(V32,Minimas!$C$1:$BN$10,8,FALSE)</f>
        <v>-18</v>
      </c>
      <c r="AJ32" s="90">
        <f>T32-HLOOKUP(V32,Minimas!$C$1:$BN$10,9,FALSE)</f>
        <v>-28</v>
      </c>
      <c r="AK32" s="90">
        <f>T32-HLOOKUP(V32,Minimas!$C$1:$BN$10,10,FALSE)</f>
        <v>-923</v>
      </c>
      <c r="AL32" s="91" t="str">
        <f t="shared" ref="AL32" si="63">IF(E32=0," ",IF(AK32&gt;=0,$AK$7,IF(AJ32&gt;=0,$AJ$7,IF(AI32&gt;=0,$AI$7,IF(AH32&gt;=0,$AH$7,IF(AG32&gt;=0,$AG$7,IF(AF32&gt;=0,$AF$7,IF(AE32&gt;=0,$AE$7,IF(AD32&gt;=0,$AD$7,$AC$7)))))))))</f>
        <v>FED +</v>
      </c>
      <c r="AN32" s="5" t="str">
        <f t="shared" ref="AN32" si="64">IF(AL32="","",AL32)</f>
        <v>FED +</v>
      </c>
      <c r="AO32" s="5">
        <f t="shared" ref="AO32" si="65">IF(E32=0," ",IF(AK32&gt;=0,AK32,IF(AJ32&gt;=0,AJ32,IF(AI32&gt;=0,AI32,IF(AH32&gt;=0,AH32,IF(AG32&gt;=0,AG32,IF(AF32&gt;=0,AF32,IF(AE32&gt;=0,AE32,IF(AD32&gt;=0,AD32,AC32)))))))))</f>
        <v>2</v>
      </c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</row>
    <row r="33" spans="1:124" s="11" customFormat="1" ht="5.0999999999999996" customHeight="1" thickBot="1" x14ac:dyDescent="0.25">
      <c r="A33" s="8"/>
      <c r="B33" s="147"/>
      <c r="C33" s="160"/>
      <c r="D33" s="41"/>
      <c r="E33" s="41"/>
      <c r="F33" s="42"/>
      <c r="G33" s="43"/>
      <c r="H33" s="44"/>
      <c r="I33" s="193"/>
      <c r="J33" s="40"/>
      <c r="K33" s="101"/>
      <c r="L33" s="45"/>
      <c r="M33" s="45"/>
      <c r="N33" s="45"/>
      <c r="O33" s="46"/>
      <c r="P33" s="45"/>
      <c r="Q33" s="45"/>
      <c r="R33" s="45"/>
      <c r="S33" s="46"/>
      <c r="T33" s="46"/>
      <c r="U33" s="41"/>
      <c r="V33" s="48"/>
      <c r="W33" s="47"/>
      <c r="X33" s="7"/>
      <c r="Y33" s="154"/>
      <c r="Z33" s="7"/>
      <c r="AA33" s="7"/>
      <c r="AB33" s="7"/>
      <c r="AC33" s="89" t="s">
        <v>60</v>
      </c>
      <c r="AD33" s="89" t="s">
        <v>61</v>
      </c>
      <c r="AE33" s="89" t="s">
        <v>62</v>
      </c>
      <c r="AF33" s="89" t="s">
        <v>63</v>
      </c>
      <c r="AG33" s="89" t="s">
        <v>64</v>
      </c>
      <c r="AH33" s="89" t="s">
        <v>65</v>
      </c>
      <c r="AI33" s="89" t="s">
        <v>66</v>
      </c>
      <c r="AJ33" s="89" t="s">
        <v>67</v>
      </c>
      <c r="AK33" s="89" t="s">
        <v>68</v>
      </c>
      <c r="AL33" s="89"/>
      <c r="AM33" s="7"/>
      <c r="AN33" s="7"/>
      <c r="AO33" s="7"/>
      <c r="AP33" s="7"/>
      <c r="AQ33" s="7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s="5" customFormat="1" ht="27.95" customHeight="1" x14ac:dyDescent="0.2">
      <c r="B34" s="148" t="s">
        <v>121</v>
      </c>
      <c r="C34" s="161">
        <v>417751</v>
      </c>
      <c r="D34" s="92">
        <v>1</v>
      </c>
      <c r="E34" s="84" t="s">
        <v>108</v>
      </c>
      <c r="F34" s="36" t="s">
        <v>159</v>
      </c>
      <c r="G34" s="37" t="s">
        <v>160</v>
      </c>
      <c r="H34" s="92">
        <v>2001</v>
      </c>
      <c r="I34" s="192" t="s">
        <v>545</v>
      </c>
      <c r="J34" s="35" t="s">
        <v>108</v>
      </c>
      <c r="K34" s="103">
        <v>45.4</v>
      </c>
      <c r="L34" s="38">
        <v>35</v>
      </c>
      <c r="M34" s="39">
        <v>37</v>
      </c>
      <c r="N34" s="39">
        <v>-39</v>
      </c>
      <c r="O34" s="54">
        <f t="shared" si="17"/>
        <v>37</v>
      </c>
      <c r="P34" s="53">
        <v>48</v>
      </c>
      <c r="Q34" s="53">
        <v>-50</v>
      </c>
      <c r="R34" s="53">
        <v>50</v>
      </c>
      <c r="S34" s="54">
        <f t="shared" si="18"/>
        <v>50</v>
      </c>
      <c r="T34" s="55">
        <f t="shared" si="19"/>
        <v>87</v>
      </c>
      <c r="U34" s="56" t="str">
        <f t="shared" si="20"/>
        <v>FED + 7</v>
      </c>
      <c r="V34" s="86" t="str">
        <f>IF(E34=0," ",IF(E34="H",IF(OR(E34="SEN",H34&lt;1998),VLOOKUP(K34,Minimas!$A$11:$G$29,6),IF(AND(H34&gt;1997,H34&lt;2001),VLOOKUP(K34,Minimas!$A$11:$G$29,5),IF(AND(H34&gt;2000,H34&lt;2003),VLOOKUP(K34,Minimas!$A$11:$G$29,4),IF(AND(H34&gt;2002,H34&lt;2005),VLOOKUP(K34,Minimas!$A$11:$G$29,3),VLOOKUP(K34,Minimas!$A$11:$G$29,2))))),IF(OR(H34="SEN",H34&lt;1998),VLOOKUP(K34,Minimas!$G$11:$L$26,6),IF(AND(H34&gt;1997,H34&lt;2001),VLOOKUP(K34,Minimas!$G$11:$L$26,5),IF(AND(H34&gt;2000,H34&lt;2003),VLOOKUP(K34,Minimas!$G$11:$L$26,4),IF(AND(H34&gt;2002,H34&lt;2005),VLOOKUP(K34,Minimas!$G$11:$L$26,3),VLOOKUP(K34,Minimas!$G$11:$L$26,2)))))))</f>
        <v>FC2 48</v>
      </c>
      <c r="W34" s="62">
        <f t="shared" si="21"/>
        <v>144.27166338404311</v>
      </c>
      <c r="X34" s="63"/>
      <c r="Y34" s="155" t="s">
        <v>441</v>
      </c>
      <c r="AC34" s="90">
        <f>T34-HLOOKUP(V34,Minimas!$C$1:$BN$10,2,FALSE)</f>
        <v>52</v>
      </c>
      <c r="AD34" s="90">
        <f>T34-HLOOKUP(V34,Minimas!$C$1:$BN$10,3,FALSE)</f>
        <v>42</v>
      </c>
      <c r="AE34" s="90">
        <f>T34-HLOOKUP(V34,Minimas!$C$1:$BN$10,4,FALSE)</f>
        <v>32</v>
      </c>
      <c r="AF34" s="90">
        <f>T34-HLOOKUP(V34,Minimas!$C$1:$BN$10,5,FALSE)</f>
        <v>22</v>
      </c>
      <c r="AG34" s="90">
        <f>T34-HLOOKUP(V34,Minimas!$C$1:$BN$10,6,FALSE)</f>
        <v>7</v>
      </c>
      <c r="AH34" s="90">
        <f>T34-HLOOKUP(V34,Minimas!$C$1:$BN$10,7,FALSE)</f>
        <v>-3</v>
      </c>
      <c r="AI34" s="90">
        <f>T34-HLOOKUP(V34,Minimas!$C$1:$BN$10,8,FALSE)</f>
        <v>-13</v>
      </c>
      <c r="AJ34" s="90">
        <f>T34-HLOOKUP(V34,Minimas!$C$1:$BN$10,9,FALSE)</f>
        <v>-28</v>
      </c>
      <c r="AK34" s="90">
        <f>T34-HLOOKUP(V34,Minimas!$C$1:$BN$10,10,FALSE)</f>
        <v>-913</v>
      </c>
      <c r="AL34" s="91" t="str">
        <f t="shared" si="22"/>
        <v>FED +</v>
      </c>
      <c r="AN34" s="5" t="str">
        <f t="shared" si="23"/>
        <v>FED +</v>
      </c>
      <c r="AO34" s="5">
        <f t="shared" si="24"/>
        <v>7</v>
      </c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</row>
    <row r="35" spans="1:124" s="5" customFormat="1" ht="27.95" customHeight="1" x14ac:dyDescent="0.2">
      <c r="B35" s="148" t="s">
        <v>189</v>
      </c>
      <c r="C35" s="161">
        <v>143099</v>
      </c>
      <c r="D35" s="92">
        <v>2</v>
      </c>
      <c r="E35" s="84" t="s">
        <v>108</v>
      </c>
      <c r="F35" s="36" t="s">
        <v>328</v>
      </c>
      <c r="G35" s="37" t="s">
        <v>329</v>
      </c>
      <c r="H35" s="92">
        <v>2002</v>
      </c>
      <c r="I35" s="192" t="s">
        <v>584</v>
      </c>
      <c r="J35" s="35" t="s">
        <v>108</v>
      </c>
      <c r="K35" s="103">
        <v>46.6</v>
      </c>
      <c r="L35" s="38">
        <v>32</v>
      </c>
      <c r="M35" s="39">
        <v>34</v>
      </c>
      <c r="N35" s="39">
        <v>36</v>
      </c>
      <c r="O35" s="54">
        <f t="shared" ref="O35" si="66">IF(E35="","",IF(MAXA(L35:N35)&lt;=0,0,MAXA(L35:N35)))</f>
        <v>36</v>
      </c>
      <c r="P35" s="53">
        <v>44</v>
      </c>
      <c r="Q35" s="53">
        <v>46</v>
      </c>
      <c r="R35" s="53">
        <v>48</v>
      </c>
      <c r="S35" s="54">
        <f t="shared" ref="S35" si="67">IF(E35="","",IF(MAXA(P35:R35)&lt;=0,0,MAXA(P35:R35)))</f>
        <v>48</v>
      </c>
      <c r="T35" s="55">
        <f t="shared" ref="T35" si="68">IF(E35="","",IF(OR(O35=0,S35=0),0,O35+S35))</f>
        <v>84</v>
      </c>
      <c r="U35" s="56" t="str">
        <f t="shared" ref="U35" si="69">+CONCATENATE(AN35," ",AO35)</f>
        <v>FED + 4</v>
      </c>
      <c r="V35" s="86" t="str">
        <f>IF(E35=0," ",IF(E35="H",IF(OR(E35="SEN",H35&lt;1998),VLOOKUP(K35,Minimas!$A$11:$G$29,6),IF(AND(H35&gt;1997,H35&lt;2001),VLOOKUP(K35,Minimas!$A$11:$G$29,5),IF(AND(H35&gt;2000,H35&lt;2003),VLOOKUP(K35,Minimas!$A$11:$G$29,4),IF(AND(H35&gt;2002,H35&lt;2005),VLOOKUP(K35,Minimas!$A$11:$G$29,3),VLOOKUP(K35,Minimas!$A$11:$G$29,2))))),IF(OR(H35="SEN",H35&lt;1998),VLOOKUP(K35,Minimas!$G$11:$L$26,6),IF(AND(H35&gt;1997,H35&lt;2001),VLOOKUP(K35,Minimas!$G$11:$L$26,5),IF(AND(H35&gt;2000,H35&lt;2003),VLOOKUP(K35,Minimas!$G$11:$L$26,4),IF(AND(H35&gt;2002,H35&lt;2005),VLOOKUP(K35,Minimas!$G$11:$L$26,3),VLOOKUP(K35,Minimas!$G$11:$L$26,2)))))))</f>
        <v>FC2 48</v>
      </c>
      <c r="W35" s="62">
        <f t="shared" ref="W35" si="70">IF(E35=" "," ",IF(E35="H",10^(0.75194503*LOG(K35/175.508)^2)*T35,IF(E35="F",10^(0.783497476* LOG(K35/153.655)^2)*T35,"")))</f>
        <v>136.34555652898547</v>
      </c>
      <c r="X35" s="63"/>
      <c r="Y35" s="155" t="s">
        <v>441</v>
      </c>
      <c r="AC35" s="90">
        <f>T35-HLOOKUP(V35,Minimas!$C$1:$BN$10,2,FALSE)</f>
        <v>49</v>
      </c>
      <c r="AD35" s="90">
        <f>T35-HLOOKUP(V35,Minimas!$C$1:$BN$10,3,FALSE)</f>
        <v>39</v>
      </c>
      <c r="AE35" s="90">
        <f>T35-HLOOKUP(V35,Minimas!$C$1:$BN$10,4,FALSE)</f>
        <v>29</v>
      </c>
      <c r="AF35" s="90">
        <f>T35-HLOOKUP(V35,Minimas!$C$1:$BN$10,5,FALSE)</f>
        <v>19</v>
      </c>
      <c r="AG35" s="90">
        <f>T35-HLOOKUP(V35,Minimas!$C$1:$BN$10,6,FALSE)</f>
        <v>4</v>
      </c>
      <c r="AH35" s="90">
        <f>T35-HLOOKUP(V35,Minimas!$C$1:$BN$10,7,FALSE)</f>
        <v>-6</v>
      </c>
      <c r="AI35" s="90">
        <f>T35-HLOOKUP(V35,Minimas!$C$1:$BN$10,8,FALSE)</f>
        <v>-16</v>
      </c>
      <c r="AJ35" s="90">
        <f>T35-HLOOKUP(V35,Minimas!$C$1:$BN$10,9,FALSE)</f>
        <v>-31</v>
      </c>
      <c r="AK35" s="90">
        <f>T35-HLOOKUP(V35,Minimas!$C$1:$BN$10,10,FALSE)</f>
        <v>-916</v>
      </c>
      <c r="AL35" s="91" t="str">
        <f t="shared" ref="AL35" si="71">IF(E35=0," ",IF(AK35&gt;=0,$AK$7,IF(AJ35&gt;=0,$AJ$7,IF(AI35&gt;=0,$AI$7,IF(AH35&gt;=0,$AH$7,IF(AG35&gt;=0,$AG$7,IF(AF35&gt;=0,$AF$7,IF(AE35&gt;=0,$AE$7,IF(AD35&gt;=0,$AD$7,$AC$7)))))))))</f>
        <v>FED +</v>
      </c>
      <c r="AN35" s="5" t="str">
        <f t="shared" ref="AN35" si="72">IF(AL35="","",AL35)</f>
        <v>FED +</v>
      </c>
      <c r="AO35" s="5">
        <f t="shared" ref="AO35" si="73">IF(E35=0," ",IF(AK35&gt;=0,AK35,IF(AJ35&gt;=0,AJ35,IF(AI35&gt;=0,AI35,IF(AH35&gt;=0,AH35,IF(AG35&gt;=0,AG35,IF(AF35&gt;=0,AF35,IF(AE35&gt;=0,AE35,IF(AD35&gt;=0,AD35,AC35)))))))))</f>
        <v>4</v>
      </c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</row>
    <row r="36" spans="1:124" s="5" customFormat="1" ht="27.95" customHeight="1" x14ac:dyDescent="0.2">
      <c r="B36" s="148" t="s">
        <v>129</v>
      </c>
      <c r="C36" s="161">
        <v>400908</v>
      </c>
      <c r="D36" s="92">
        <v>3</v>
      </c>
      <c r="E36" s="84" t="s">
        <v>108</v>
      </c>
      <c r="F36" s="36" t="s">
        <v>444</v>
      </c>
      <c r="G36" s="37" t="s">
        <v>593</v>
      </c>
      <c r="H36" s="92">
        <v>2001</v>
      </c>
      <c r="I36" s="192" t="s">
        <v>445</v>
      </c>
      <c r="J36" s="35" t="s">
        <v>108</v>
      </c>
      <c r="K36" s="103">
        <v>46.7</v>
      </c>
      <c r="L36" s="38">
        <v>36</v>
      </c>
      <c r="M36" s="39">
        <v>38</v>
      </c>
      <c r="N36" s="39">
        <v>-39</v>
      </c>
      <c r="O36" s="54">
        <f t="shared" si="17"/>
        <v>38</v>
      </c>
      <c r="P36" s="53">
        <v>44</v>
      </c>
      <c r="Q36" s="53">
        <v>-46</v>
      </c>
      <c r="R36" s="53">
        <v>46</v>
      </c>
      <c r="S36" s="54">
        <f t="shared" si="18"/>
        <v>46</v>
      </c>
      <c r="T36" s="55">
        <f t="shared" si="19"/>
        <v>84</v>
      </c>
      <c r="U36" s="56" t="str">
        <f t="shared" si="20"/>
        <v>FED + 4</v>
      </c>
      <c r="V36" s="86" t="str">
        <f>IF(E36=0," ",IF(E36="H",IF(OR(E36="SEN",H36&lt;1998),VLOOKUP(K36,Minimas!$A$11:$G$29,6),IF(AND(H36&gt;1997,H36&lt;2001),VLOOKUP(K36,Minimas!$A$11:$G$29,5),IF(AND(H36&gt;2000,H36&lt;2003),VLOOKUP(K36,Minimas!$A$11:$G$29,4),IF(AND(H36&gt;2002,H36&lt;2005),VLOOKUP(K36,Minimas!$A$11:$G$29,3),VLOOKUP(K36,Minimas!$A$11:$G$29,2))))),IF(OR(H36="SEN",H36&lt;1998),VLOOKUP(K36,Minimas!$G$11:$L$26,6),IF(AND(H36&gt;1997,H36&lt;2001),VLOOKUP(K36,Minimas!$G$11:$L$26,5),IF(AND(H36&gt;2000,H36&lt;2003),VLOOKUP(K36,Minimas!$G$11:$L$26,4),IF(AND(H36&gt;2002,H36&lt;2005),VLOOKUP(K36,Minimas!$G$11:$L$26,3),VLOOKUP(K36,Minimas!$G$11:$L$26,2)))))))</f>
        <v>FC2 48</v>
      </c>
      <c r="W36" s="62">
        <f t="shared" si="21"/>
        <v>136.10866268831219</v>
      </c>
      <c r="X36" s="63"/>
      <c r="Y36" s="155" t="s">
        <v>441</v>
      </c>
      <c r="AC36" s="90">
        <f>T36-HLOOKUP(V36,Minimas!$C$1:$BN$10,2,FALSE)</f>
        <v>49</v>
      </c>
      <c r="AD36" s="90">
        <f>T36-HLOOKUP(V36,Minimas!$C$1:$BN$10,3,FALSE)</f>
        <v>39</v>
      </c>
      <c r="AE36" s="90">
        <f>T36-HLOOKUP(V36,Minimas!$C$1:$BN$10,4,FALSE)</f>
        <v>29</v>
      </c>
      <c r="AF36" s="90">
        <f>T36-HLOOKUP(V36,Minimas!$C$1:$BN$10,5,FALSE)</f>
        <v>19</v>
      </c>
      <c r="AG36" s="90">
        <f>T36-HLOOKUP(V36,Minimas!$C$1:$BN$10,6,FALSE)</f>
        <v>4</v>
      </c>
      <c r="AH36" s="90">
        <f>T36-HLOOKUP(V36,Minimas!$C$1:$BN$10,7,FALSE)</f>
        <v>-6</v>
      </c>
      <c r="AI36" s="90">
        <f>T36-HLOOKUP(V36,Minimas!$C$1:$BN$10,8,FALSE)</f>
        <v>-16</v>
      </c>
      <c r="AJ36" s="90">
        <f>T36-HLOOKUP(V36,Minimas!$C$1:$BN$10,9,FALSE)</f>
        <v>-31</v>
      </c>
      <c r="AK36" s="90">
        <f>T36-HLOOKUP(V36,Minimas!$C$1:$BN$10,10,FALSE)</f>
        <v>-916</v>
      </c>
      <c r="AL36" s="91" t="str">
        <f t="shared" si="22"/>
        <v>FED +</v>
      </c>
      <c r="AN36" s="5" t="str">
        <f t="shared" si="23"/>
        <v>FED +</v>
      </c>
      <c r="AO36" s="5">
        <f t="shared" si="24"/>
        <v>4</v>
      </c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</row>
    <row r="37" spans="1:124" s="5" customFormat="1" ht="27.95" customHeight="1" thickBot="1" x14ac:dyDescent="0.25">
      <c r="B37" s="148" t="s">
        <v>122</v>
      </c>
      <c r="C37" s="161">
        <v>419798</v>
      </c>
      <c r="D37" s="92">
        <v>4</v>
      </c>
      <c r="E37" s="84" t="s">
        <v>108</v>
      </c>
      <c r="F37" s="36" t="s">
        <v>326</v>
      </c>
      <c r="G37" s="37" t="s">
        <v>594</v>
      </c>
      <c r="H37" s="92">
        <v>2002</v>
      </c>
      <c r="I37" s="192" t="s">
        <v>327</v>
      </c>
      <c r="J37" s="35" t="s">
        <v>108</v>
      </c>
      <c r="K37" s="103">
        <v>47</v>
      </c>
      <c r="L37" s="38">
        <v>32</v>
      </c>
      <c r="M37" s="39">
        <v>35</v>
      </c>
      <c r="N37" s="39">
        <v>-37</v>
      </c>
      <c r="O37" s="54">
        <f t="shared" si="17"/>
        <v>35</v>
      </c>
      <c r="P37" s="53">
        <v>45</v>
      </c>
      <c r="Q37" s="53">
        <v>47</v>
      </c>
      <c r="R37" s="53">
        <v>-49</v>
      </c>
      <c r="S37" s="54">
        <f t="shared" si="18"/>
        <v>47</v>
      </c>
      <c r="T37" s="55">
        <f t="shared" si="19"/>
        <v>82</v>
      </c>
      <c r="U37" s="56" t="str">
        <f t="shared" si="20"/>
        <v>FED + 2</v>
      </c>
      <c r="V37" s="86" t="str">
        <f>IF(E37=0," ",IF(E37="H",IF(OR(E37="SEN",H37&lt;1998),VLOOKUP(K37,Minimas!$A$11:$G$29,6),IF(AND(H37&gt;1997,H37&lt;2001),VLOOKUP(K37,Minimas!$A$11:$G$29,5),IF(AND(H37&gt;2000,H37&lt;2003),VLOOKUP(K37,Minimas!$A$11:$G$29,4),IF(AND(H37&gt;2002,H37&lt;2005),VLOOKUP(K37,Minimas!$A$11:$G$29,3),VLOOKUP(K37,Minimas!$A$11:$G$29,2))))),IF(OR(H37="SEN",H37&lt;1998),VLOOKUP(K37,Minimas!$G$11:$L$26,6),IF(AND(H37&gt;1997,H37&lt;2001),VLOOKUP(K37,Minimas!$G$11:$L$26,5),IF(AND(H37&gt;2000,H37&lt;2003),VLOOKUP(K37,Minimas!$G$11:$L$26,4),IF(AND(H37&gt;2002,H37&lt;2005),VLOOKUP(K37,Minimas!$G$11:$L$26,3),VLOOKUP(K37,Minimas!$G$11:$L$26,2)))))))</f>
        <v>FC2 48</v>
      </c>
      <c r="W37" s="62">
        <f t="shared" si="21"/>
        <v>132.1820308881525</v>
      </c>
      <c r="X37" s="63"/>
      <c r="Y37" s="156" t="s">
        <v>319</v>
      </c>
      <c r="AC37" s="90">
        <f>T37-HLOOKUP(V37,Minimas!$C$1:$BN$10,2,FALSE)</f>
        <v>47</v>
      </c>
      <c r="AD37" s="90">
        <f>T37-HLOOKUP(V37,Minimas!$C$1:$BN$10,3,FALSE)</f>
        <v>37</v>
      </c>
      <c r="AE37" s="90">
        <f>T37-HLOOKUP(V37,Minimas!$C$1:$BN$10,4,FALSE)</f>
        <v>27</v>
      </c>
      <c r="AF37" s="90">
        <f>T37-HLOOKUP(V37,Minimas!$C$1:$BN$10,5,FALSE)</f>
        <v>17</v>
      </c>
      <c r="AG37" s="90">
        <f>T37-HLOOKUP(V37,Minimas!$C$1:$BN$10,6,FALSE)</f>
        <v>2</v>
      </c>
      <c r="AH37" s="90">
        <f>T37-HLOOKUP(V37,Minimas!$C$1:$BN$10,7,FALSE)</f>
        <v>-8</v>
      </c>
      <c r="AI37" s="90">
        <f>T37-HLOOKUP(V37,Minimas!$C$1:$BN$10,8,FALSE)</f>
        <v>-18</v>
      </c>
      <c r="AJ37" s="90">
        <f>T37-HLOOKUP(V37,Minimas!$C$1:$BN$10,9,FALSE)</f>
        <v>-33</v>
      </c>
      <c r="AK37" s="90">
        <f>T37-HLOOKUP(V37,Minimas!$C$1:$BN$10,10,FALSE)</f>
        <v>-918</v>
      </c>
      <c r="AL37" s="91" t="str">
        <f t="shared" si="22"/>
        <v>FED +</v>
      </c>
      <c r="AN37" s="5" t="str">
        <f t="shared" si="23"/>
        <v>FED +</v>
      </c>
      <c r="AO37" s="5">
        <f t="shared" si="24"/>
        <v>2</v>
      </c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</row>
    <row r="38" spans="1:124" s="11" customFormat="1" ht="5.0999999999999996" customHeight="1" thickBot="1" x14ac:dyDescent="0.25">
      <c r="A38" s="8"/>
      <c r="B38" s="147"/>
      <c r="C38" s="160"/>
      <c r="D38" s="41"/>
      <c r="E38" s="41"/>
      <c r="F38" s="42"/>
      <c r="G38" s="43"/>
      <c r="H38" s="44"/>
      <c r="I38" s="193"/>
      <c r="J38" s="40"/>
      <c r="K38" s="101"/>
      <c r="L38" s="45"/>
      <c r="M38" s="45"/>
      <c r="N38" s="45"/>
      <c r="O38" s="46"/>
      <c r="P38" s="45"/>
      <c r="Q38" s="45"/>
      <c r="R38" s="45"/>
      <c r="S38" s="46"/>
      <c r="T38" s="46"/>
      <c r="U38" s="41"/>
      <c r="V38" s="48"/>
      <c r="W38" s="47"/>
      <c r="X38" s="7"/>
      <c r="Y38" s="154"/>
      <c r="Z38" s="7"/>
      <c r="AA38" s="7"/>
      <c r="AB38" s="7"/>
      <c r="AC38" s="89" t="s">
        <v>60</v>
      </c>
      <c r="AD38" s="89" t="s">
        <v>61</v>
      </c>
      <c r="AE38" s="89" t="s">
        <v>62</v>
      </c>
      <c r="AF38" s="89" t="s">
        <v>63</v>
      </c>
      <c r="AG38" s="89" t="s">
        <v>64</v>
      </c>
      <c r="AH38" s="89" t="s">
        <v>65</v>
      </c>
      <c r="AI38" s="89" t="s">
        <v>66</v>
      </c>
      <c r="AJ38" s="89" t="s">
        <v>67</v>
      </c>
      <c r="AK38" s="89" t="s">
        <v>68</v>
      </c>
      <c r="AL38" s="89"/>
      <c r="AM38" s="7"/>
      <c r="AN38" s="7"/>
      <c r="AO38" s="7"/>
      <c r="AP38" s="7"/>
      <c r="AQ38" s="7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s="5" customFormat="1" ht="27.95" customHeight="1" thickBot="1" x14ac:dyDescent="0.25">
      <c r="B39" s="150" t="s">
        <v>120</v>
      </c>
      <c r="C39" s="163">
        <v>423675</v>
      </c>
      <c r="D39" s="128">
        <v>1</v>
      </c>
      <c r="E39" s="129" t="s">
        <v>108</v>
      </c>
      <c r="F39" s="130" t="s">
        <v>304</v>
      </c>
      <c r="G39" s="131" t="s">
        <v>331</v>
      </c>
      <c r="H39" s="128">
        <v>2002</v>
      </c>
      <c r="I39" s="199" t="s">
        <v>332</v>
      </c>
      <c r="J39" s="132" t="s">
        <v>333</v>
      </c>
      <c r="K39" s="133">
        <v>49</v>
      </c>
      <c r="L39" s="134">
        <v>37</v>
      </c>
      <c r="M39" s="135">
        <v>40</v>
      </c>
      <c r="N39" s="135">
        <v>-42</v>
      </c>
      <c r="O39" s="136">
        <f t="shared" ref="O39" si="74">IF(E39="","",IF(MAXA(L39:N39)&lt;=0,0,MAXA(L39:N39)))</f>
        <v>40</v>
      </c>
      <c r="P39" s="137">
        <v>45</v>
      </c>
      <c r="Q39" s="137">
        <v>-50</v>
      </c>
      <c r="R39" s="137">
        <v>50</v>
      </c>
      <c r="S39" s="136">
        <f t="shared" ref="S39" si="75">IF(E39="","",IF(MAXA(P39:R39)&lt;=0,0,MAXA(P39:R39)))</f>
        <v>50</v>
      </c>
      <c r="T39" s="138">
        <f t="shared" ref="T39" si="76">IF(E39="","",IF(OR(O39=0,S39=0),0,O39+S39))</f>
        <v>90</v>
      </c>
      <c r="U39" s="139" t="str">
        <f t="shared" ref="U39" si="77">+CONCATENATE(AN39," ",AO39)</f>
        <v>FED + 0</v>
      </c>
      <c r="V39" s="140" t="str">
        <f>IF(E39=0," ",IF(E39="H",IF(OR(E39="SEN",H39&lt;1998),VLOOKUP(K39,Minimas!$A$11:$G$29,6),IF(AND(H39&gt;1997,H39&lt;2001),VLOOKUP(K39,Minimas!$A$11:$G$29,5),IF(AND(H39&gt;2000,H39&lt;2003),VLOOKUP(K39,Minimas!$A$11:$G$29,4),IF(AND(H39&gt;2002,H39&lt;2005),VLOOKUP(K39,Minimas!$A$11:$G$29,3),VLOOKUP(K39,Minimas!$A$11:$G$29,2))))),IF(OR(H39="SEN",H39&lt;1998),VLOOKUP(K39,Minimas!$G$11:$L$26,6),IF(AND(H39&gt;1997,H39&lt;2001),VLOOKUP(K39,Minimas!$G$11:$L$26,5),IF(AND(H39&gt;2000,H39&lt;2003),VLOOKUP(K39,Minimas!$G$11:$L$26,4),IF(AND(H39&gt;2002,H39&lt;2005),VLOOKUP(K39,Minimas!$G$11:$L$26,3),VLOOKUP(K39,Minimas!$G$11:$L$26,2)))))))</f>
        <v>FC2 53</v>
      </c>
      <c r="W39" s="141">
        <f t="shared" ref="W39" si="78">IF(E39=" "," ",IF(E39="H",10^(0.75194503*LOG(K39/175.508)^2)*T39,IF(E39="F",10^(0.783497476* LOG(K39/153.655)^2)*T39,"")))</f>
        <v>140.36797369479913</v>
      </c>
      <c r="X39" s="63"/>
      <c r="Y39" s="156" t="s">
        <v>319</v>
      </c>
      <c r="AC39" s="90">
        <f>T39-HLOOKUP(V39,Minimas!$C$1:$BN$10,2,FALSE)</f>
        <v>45</v>
      </c>
      <c r="AD39" s="90">
        <f>T39-HLOOKUP(V39,Minimas!$C$1:$BN$10,3,FALSE)</f>
        <v>35</v>
      </c>
      <c r="AE39" s="90">
        <f>T39-HLOOKUP(V39,Minimas!$C$1:$BN$10,4,FALSE)</f>
        <v>25</v>
      </c>
      <c r="AF39" s="90">
        <f>T39-HLOOKUP(V39,Minimas!$C$1:$BN$10,5,FALSE)</f>
        <v>15</v>
      </c>
      <c r="AG39" s="90">
        <f>T39-HLOOKUP(V39,Minimas!$C$1:$BN$10,6,FALSE)</f>
        <v>0</v>
      </c>
      <c r="AH39" s="90">
        <f>T39-HLOOKUP(V39,Minimas!$C$1:$BN$10,7,FALSE)</f>
        <v>-10</v>
      </c>
      <c r="AI39" s="90">
        <f>T39-HLOOKUP(V39,Minimas!$C$1:$BN$10,8,FALSE)</f>
        <v>-20</v>
      </c>
      <c r="AJ39" s="90">
        <f>T39-HLOOKUP(V39,Minimas!$C$1:$BN$10,9,FALSE)</f>
        <v>-35</v>
      </c>
      <c r="AK39" s="90">
        <f>T39-HLOOKUP(V39,Minimas!$C$1:$BN$10,10,FALSE)</f>
        <v>-910</v>
      </c>
      <c r="AL39" s="91" t="str">
        <f t="shared" ref="AL39" si="79">IF(E39=0," ",IF(AK39&gt;=0,$AK$7,IF(AJ39&gt;=0,$AJ$7,IF(AI39&gt;=0,$AI$7,IF(AH39&gt;=0,$AH$7,IF(AG39&gt;=0,$AG$7,IF(AF39&gt;=0,$AF$7,IF(AE39&gt;=0,$AE$7,IF(AD39&gt;=0,$AD$7,$AC$7)))))))))</f>
        <v>FED +</v>
      </c>
      <c r="AN39" s="5" t="str">
        <f t="shared" ref="AN39" si="80">IF(AL39="","",AL39)</f>
        <v>FED +</v>
      </c>
      <c r="AO39" s="5">
        <f t="shared" ref="AO39" si="81">IF(E39=0," ",IF(AK39&gt;=0,AK39,IF(AJ39&gt;=0,AJ39,IF(AI39&gt;=0,AI39,IF(AH39&gt;=0,AH39,IF(AG39&gt;=0,AG39,IF(AF39&gt;=0,AF39,IF(AE39&gt;=0,AE39,IF(AD39&gt;=0,AD39,AC39)))))))))</f>
        <v>0</v>
      </c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</row>
    <row r="40" spans="1:124" s="11" customFormat="1" ht="5.0999999999999996" customHeight="1" thickBot="1" x14ac:dyDescent="0.25">
      <c r="A40" s="8"/>
      <c r="B40" s="147"/>
      <c r="C40" s="160"/>
      <c r="D40" s="41"/>
      <c r="E40" s="41"/>
      <c r="F40" s="42"/>
      <c r="G40" s="43"/>
      <c r="H40" s="44"/>
      <c r="I40" s="193"/>
      <c r="J40" s="40"/>
      <c r="K40" s="101"/>
      <c r="L40" s="45"/>
      <c r="M40" s="45"/>
      <c r="N40" s="45"/>
      <c r="O40" s="46"/>
      <c r="P40" s="45"/>
      <c r="Q40" s="45"/>
      <c r="R40" s="45"/>
      <c r="S40" s="46"/>
      <c r="T40" s="46"/>
      <c r="U40" s="41"/>
      <c r="V40" s="48"/>
      <c r="W40" s="47"/>
      <c r="X40" s="7"/>
      <c r="Y40" s="154"/>
      <c r="Z40" s="7"/>
      <c r="AA40" s="7"/>
      <c r="AB40" s="7"/>
      <c r="AC40" s="89" t="s">
        <v>60</v>
      </c>
      <c r="AD40" s="89" t="s">
        <v>61</v>
      </c>
      <c r="AE40" s="89" t="s">
        <v>62</v>
      </c>
      <c r="AF40" s="89" t="s">
        <v>63</v>
      </c>
      <c r="AG40" s="89" t="s">
        <v>64</v>
      </c>
      <c r="AH40" s="89" t="s">
        <v>65</v>
      </c>
      <c r="AI40" s="89" t="s">
        <v>66</v>
      </c>
      <c r="AJ40" s="89" t="s">
        <v>67</v>
      </c>
      <c r="AK40" s="89" t="s">
        <v>68</v>
      </c>
      <c r="AL40" s="89"/>
      <c r="AM40" s="7"/>
      <c r="AN40" s="7"/>
      <c r="AO40" s="7"/>
      <c r="AP40" s="7"/>
      <c r="AQ40" s="7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</row>
    <row r="41" spans="1:124" s="5" customFormat="1" ht="27.95" customHeight="1" x14ac:dyDescent="0.2">
      <c r="B41" s="148" t="s">
        <v>121</v>
      </c>
      <c r="C41" s="161">
        <v>429786</v>
      </c>
      <c r="D41" s="92">
        <v>1</v>
      </c>
      <c r="E41" s="84" t="s">
        <v>108</v>
      </c>
      <c r="F41" s="36" t="s">
        <v>334</v>
      </c>
      <c r="G41" s="37" t="s">
        <v>335</v>
      </c>
      <c r="H41" s="92">
        <v>2001</v>
      </c>
      <c r="I41" s="192" t="s">
        <v>585</v>
      </c>
      <c r="J41" s="35" t="s">
        <v>108</v>
      </c>
      <c r="K41" s="103">
        <v>58</v>
      </c>
      <c r="L41" s="38">
        <v>40</v>
      </c>
      <c r="M41" s="39">
        <v>43</v>
      </c>
      <c r="N41" s="39">
        <v>-45</v>
      </c>
      <c r="O41" s="54">
        <f>IF(E41="","",IF(MAXA(L41:N41)&lt;=0,0,MAXA(L41:N41)))</f>
        <v>43</v>
      </c>
      <c r="P41" s="53">
        <v>50</v>
      </c>
      <c r="Q41" s="53">
        <v>54</v>
      </c>
      <c r="R41" s="53">
        <v>-58</v>
      </c>
      <c r="S41" s="54">
        <f>IF(E41="","",IF(MAXA(P41:R41)&lt;=0,0,MAXA(P41:R41)))</f>
        <v>54</v>
      </c>
      <c r="T41" s="55">
        <f>IF(E41="","",IF(OR(O41=0,S41=0),0,O41+S41))</f>
        <v>97</v>
      </c>
      <c r="U41" s="56" t="str">
        <f>+CONCATENATE(AN41," ",AO41)</f>
        <v>FED + 2</v>
      </c>
      <c r="V41" s="86" t="str">
        <f>IF(E41=0," ",IF(E41="H",IF(OR(E41="SEN",H41&lt;1998),VLOOKUP(K41,Minimas!$A$11:$G$29,6),IF(AND(H41&gt;1997,H41&lt;2001),VLOOKUP(K41,Minimas!$A$11:$G$29,5),IF(AND(H41&gt;2000,H41&lt;2003),VLOOKUP(K41,Minimas!$A$11:$G$29,4),IF(AND(H41&gt;2002,H41&lt;2005),VLOOKUP(K41,Minimas!$A$11:$G$29,3),VLOOKUP(K41,Minimas!$A$11:$G$29,2))))),IF(OR(H41="SEN",H41&lt;1998),VLOOKUP(K41,Minimas!$G$11:$L$26,6),IF(AND(H41&gt;1997,H41&lt;2001),VLOOKUP(K41,Minimas!$G$11:$L$26,5),IF(AND(H41&gt;2000,H41&lt;2003),VLOOKUP(K41,Minimas!$G$11:$L$26,4),IF(AND(H41&gt;2002,H41&lt;2005),VLOOKUP(K41,Minimas!$G$11:$L$26,3),VLOOKUP(K41,Minimas!$G$11:$L$26,2)))))))</f>
        <v>FC2 58</v>
      </c>
      <c r="W41" s="62">
        <f>IF(E41=" "," ",IF(E41="H",10^(0.75194503*LOG(K41/175.508)^2)*T41,IF(E41="F",10^(0.783497476* LOG(K41/153.655)^2)*T41,"")))</f>
        <v>133.98026930688198</v>
      </c>
      <c r="X41" s="63"/>
      <c r="Y41" s="155" t="s">
        <v>441</v>
      </c>
      <c r="AC41" s="90">
        <f>T41-HLOOKUP(V41,Minimas!$C$1:$BN$10,2,FALSE)</f>
        <v>47</v>
      </c>
      <c r="AD41" s="90">
        <f>T41-HLOOKUP(V41,Minimas!$C$1:$BN$10,3,FALSE)</f>
        <v>37</v>
      </c>
      <c r="AE41" s="90">
        <f>T41-HLOOKUP(V41,Minimas!$C$1:$BN$10,4,FALSE)</f>
        <v>27</v>
      </c>
      <c r="AF41" s="90">
        <f>T41-HLOOKUP(V41,Minimas!$C$1:$BN$10,5,FALSE)</f>
        <v>17</v>
      </c>
      <c r="AG41" s="90">
        <f>T41-HLOOKUP(V41,Minimas!$C$1:$BN$10,6,FALSE)</f>
        <v>2</v>
      </c>
      <c r="AH41" s="90">
        <f>T41-HLOOKUP(V41,Minimas!$C$1:$BN$10,7,FALSE)</f>
        <v>-8</v>
      </c>
      <c r="AI41" s="90">
        <f>T41-HLOOKUP(V41,Minimas!$C$1:$BN$10,8,FALSE)</f>
        <v>-23</v>
      </c>
      <c r="AJ41" s="90">
        <f>T41-HLOOKUP(V41,Minimas!$C$1:$BN$10,9,FALSE)</f>
        <v>-38</v>
      </c>
      <c r="AK41" s="90">
        <f>T41-HLOOKUP(V41,Minimas!$C$1:$BN$10,10,FALSE)</f>
        <v>-903</v>
      </c>
      <c r="AL41" s="91" t="str">
        <f>IF(E41=0," ",IF(AK41&gt;=0,$AK$7,IF(AJ41&gt;=0,$AJ$7,IF(AI41&gt;=0,$AI$7,IF(AH41&gt;=0,$AH$7,IF(AG41&gt;=0,$AG$7,IF(AF41&gt;=0,$AF$7,IF(AE41&gt;=0,$AE$7,IF(AD41&gt;=0,$AD$7,$AC$7)))))))))</f>
        <v>FED +</v>
      </c>
      <c r="AN41" s="5" t="str">
        <f>IF(AL41="","",AL41)</f>
        <v>FED +</v>
      </c>
      <c r="AO41" s="5">
        <f>IF(E41=0," ",IF(AK41&gt;=0,AK41,IF(AJ41&gt;=0,AJ41,IF(AI41&gt;=0,AI41,IF(AH41&gt;=0,AH41,IF(AG41&gt;=0,AG41,IF(AF41&gt;=0,AF41,IF(AE41&gt;=0,AE41,IF(AD41&gt;=0,AD41,AC41)))))))))</f>
        <v>2</v>
      </c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</row>
    <row r="42" spans="1:124" s="5" customFormat="1" ht="27.95" customHeight="1" thickBot="1" x14ac:dyDescent="0.25">
      <c r="B42" s="148" t="s">
        <v>122</v>
      </c>
      <c r="C42" s="161">
        <v>402398</v>
      </c>
      <c r="D42" s="92">
        <v>2</v>
      </c>
      <c r="E42" s="84" t="s">
        <v>108</v>
      </c>
      <c r="F42" s="36" t="s">
        <v>161</v>
      </c>
      <c r="G42" s="37" t="s">
        <v>173</v>
      </c>
      <c r="H42" s="92">
        <v>2002</v>
      </c>
      <c r="I42" s="192" t="s">
        <v>586</v>
      </c>
      <c r="J42" s="35" t="s">
        <v>108</v>
      </c>
      <c r="K42" s="103">
        <v>57.8</v>
      </c>
      <c r="L42" s="38">
        <v>37</v>
      </c>
      <c r="M42" s="39">
        <v>40</v>
      </c>
      <c r="N42" s="39">
        <v>-44</v>
      </c>
      <c r="O42" s="54">
        <f>IF(E42="","",IF(MAXA(L42:N42)&lt;=0,0,MAXA(L42:N42)))</f>
        <v>40</v>
      </c>
      <c r="P42" s="53">
        <v>52</v>
      </c>
      <c r="Q42" s="53">
        <v>55</v>
      </c>
      <c r="R42" s="53">
        <v>-63</v>
      </c>
      <c r="S42" s="54">
        <f>IF(E42="","",IF(MAXA(P42:R42)&lt;=0,0,MAXA(P42:R42)))</f>
        <v>55</v>
      </c>
      <c r="T42" s="55">
        <f>IF(E42="","",IF(OR(O42=0,S42=0),0,O42+S42))</f>
        <v>95</v>
      </c>
      <c r="U42" s="56" t="str">
        <f>+CONCATENATE(AN42," ",AO42)</f>
        <v>FED + 0</v>
      </c>
      <c r="V42" s="86" t="str">
        <f>IF(E42=0," ",IF(E42="H",IF(OR(E42="SEN",H42&lt;1998),VLOOKUP(K42,Minimas!$A$11:$G$29,6),IF(AND(H42&gt;1997,H42&lt;2001),VLOOKUP(K42,Minimas!$A$11:$G$29,5),IF(AND(H42&gt;2000,H42&lt;2003),VLOOKUP(K42,Minimas!$A$11:$G$29,4),IF(AND(H42&gt;2002,H42&lt;2005),VLOOKUP(K42,Minimas!$A$11:$G$29,3),VLOOKUP(K42,Minimas!$A$11:$G$29,2))))),IF(OR(H42="SEN",H42&lt;1998),VLOOKUP(K42,Minimas!$G$11:$L$26,6),IF(AND(H42&gt;1997,H42&lt;2001),VLOOKUP(K42,Minimas!$G$11:$L$26,5),IF(AND(H42&gt;2000,H42&lt;2003),VLOOKUP(K42,Minimas!$G$11:$L$26,4),IF(AND(H42&gt;2002,H42&lt;2005),VLOOKUP(K42,Minimas!$G$11:$L$26,3),VLOOKUP(K42,Minimas!$G$11:$L$26,2)))))))</f>
        <v>FC2 58</v>
      </c>
      <c r="W42" s="62">
        <f>IF(E42=" "," ",IF(E42="H",10^(0.75194503*LOG(K42/175.508)^2)*T42,IF(E42="F",10^(0.783497476* LOG(K42/153.655)^2)*T42,"")))</f>
        <v>131.51918859629546</v>
      </c>
      <c r="X42" s="63"/>
      <c r="Y42" s="157" t="s">
        <v>131</v>
      </c>
      <c r="AC42" s="90">
        <f>T42-HLOOKUP(V42,Minimas!$C$1:$BN$10,2,FALSE)</f>
        <v>45</v>
      </c>
      <c r="AD42" s="90">
        <f>T42-HLOOKUP(V42,Minimas!$C$1:$BN$10,3,FALSE)</f>
        <v>35</v>
      </c>
      <c r="AE42" s="90">
        <f>T42-HLOOKUP(V42,Minimas!$C$1:$BN$10,4,FALSE)</f>
        <v>25</v>
      </c>
      <c r="AF42" s="90">
        <f>T42-HLOOKUP(V42,Minimas!$C$1:$BN$10,5,FALSE)</f>
        <v>15</v>
      </c>
      <c r="AG42" s="90">
        <f>T42-HLOOKUP(V42,Minimas!$C$1:$BN$10,6,FALSE)</f>
        <v>0</v>
      </c>
      <c r="AH42" s="90">
        <f>T42-HLOOKUP(V42,Minimas!$C$1:$BN$10,7,FALSE)</f>
        <v>-10</v>
      </c>
      <c r="AI42" s="90">
        <f>T42-HLOOKUP(V42,Minimas!$C$1:$BN$10,8,FALSE)</f>
        <v>-25</v>
      </c>
      <c r="AJ42" s="90">
        <f>T42-HLOOKUP(V42,Minimas!$C$1:$BN$10,9,FALSE)</f>
        <v>-40</v>
      </c>
      <c r="AK42" s="90">
        <f>T42-HLOOKUP(V42,Minimas!$C$1:$BN$10,10,FALSE)</f>
        <v>-905</v>
      </c>
      <c r="AL42" s="91" t="str">
        <f>IF(E42=0," ",IF(AK42&gt;=0,$AK$7,IF(AJ42&gt;=0,$AJ$7,IF(AI42&gt;=0,$AI$7,IF(AH42&gt;=0,$AH$7,IF(AG42&gt;=0,$AG$7,IF(AF42&gt;=0,$AF$7,IF(AE42&gt;=0,$AE$7,IF(AD42&gt;=0,$AD$7,$AC$7)))))))))</f>
        <v>FED +</v>
      </c>
      <c r="AN42" s="5" t="str">
        <f>IF(AL42="","",AL42)</f>
        <v>FED +</v>
      </c>
      <c r="AO42" s="5">
        <f>IF(E42=0," ",IF(AK42&gt;=0,AK42,IF(AJ42&gt;=0,AJ42,IF(AI42&gt;=0,AI42,IF(AH42&gt;=0,AH42,IF(AG42&gt;=0,AG42,IF(AF42&gt;=0,AF42,IF(AE42&gt;=0,AE42,IF(AD42&gt;=0,AD42,AC42)))))))))</f>
        <v>0</v>
      </c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</row>
    <row r="43" spans="1:124" s="11" customFormat="1" ht="5.0999999999999996" customHeight="1" thickBot="1" x14ac:dyDescent="0.25">
      <c r="A43" s="8"/>
      <c r="B43" s="147"/>
      <c r="C43" s="160"/>
      <c r="D43" s="41"/>
      <c r="E43" s="41"/>
      <c r="F43" s="42"/>
      <c r="G43" s="43"/>
      <c r="H43" s="44"/>
      <c r="I43" s="193"/>
      <c r="J43" s="40"/>
      <c r="K43" s="101"/>
      <c r="L43" s="45"/>
      <c r="M43" s="45"/>
      <c r="N43" s="45"/>
      <c r="O43" s="46"/>
      <c r="P43" s="45"/>
      <c r="Q43" s="45"/>
      <c r="R43" s="45"/>
      <c r="S43" s="46"/>
      <c r="T43" s="46"/>
      <c r="U43" s="41"/>
      <c r="V43" s="48"/>
      <c r="W43" s="47"/>
      <c r="X43" s="7"/>
      <c r="Y43" s="154"/>
      <c r="Z43" s="7"/>
      <c r="AA43" s="7"/>
      <c r="AB43" s="7"/>
      <c r="AC43" s="89" t="s">
        <v>60</v>
      </c>
      <c r="AD43" s="89" t="s">
        <v>61</v>
      </c>
      <c r="AE43" s="89" t="s">
        <v>62</v>
      </c>
      <c r="AF43" s="89" t="s">
        <v>63</v>
      </c>
      <c r="AG43" s="89" t="s">
        <v>64</v>
      </c>
      <c r="AH43" s="89" t="s">
        <v>65</v>
      </c>
      <c r="AI43" s="89" t="s">
        <v>66</v>
      </c>
      <c r="AJ43" s="89" t="s">
        <v>67</v>
      </c>
      <c r="AK43" s="89" t="s">
        <v>68</v>
      </c>
      <c r="AL43" s="89"/>
      <c r="AM43" s="7"/>
      <c r="AN43" s="7"/>
      <c r="AO43" s="7"/>
      <c r="AP43" s="7"/>
      <c r="AQ43" s="7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s="5" customFormat="1" ht="27.95" customHeight="1" x14ac:dyDescent="0.2">
      <c r="B44" s="148" t="s">
        <v>125</v>
      </c>
      <c r="C44" s="161">
        <v>426896</v>
      </c>
      <c r="D44" s="92">
        <v>1</v>
      </c>
      <c r="E44" s="84" t="s">
        <v>108</v>
      </c>
      <c r="F44" s="36" t="s">
        <v>162</v>
      </c>
      <c r="G44" s="37" t="s">
        <v>595</v>
      </c>
      <c r="H44" s="92">
        <v>2002</v>
      </c>
      <c r="I44" s="192" t="s">
        <v>578</v>
      </c>
      <c r="J44" s="35" t="s">
        <v>108</v>
      </c>
      <c r="K44" s="103">
        <v>62.4</v>
      </c>
      <c r="L44" s="38">
        <v>45</v>
      </c>
      <c r="M44" s="39">
        <v>-48</v>
      </c>
      <c r="N44" s="39">
        <v>-48</v>
      </c>
      <c r="O44" s="54">
        <f t="shared" ref="O44" si="82">IF(E44="","",IF(MAXA(L44:N44)&lt;=0,0,MAXA(L44:N44)))</f>
        <v>45</v>
      </c>
      <c r="P44" s="53">
        <v>55</v>
      </c>
      <c r="Q44" s="53">
        <v>58</v>
      </c>
      <c r="R44" s="53">
        <v>-61</v>
      </c>
      <c r="S44" s="54">
        <f t="shared" ref="S44" si="83">IF(E44="","",IF(MAXA(P44:R44)&lt;=0,0,MAXA(P44:R44)))</f>
        <v>58</v>
      </c>
      <c r="T44" s="55">
        <f t="shared" ref="T44" si="84">IF(E44="","",IF(OR(O44=0,S44=0),0,O44+S44))</f>
        <v>103</v>
      </c>
      <c r="U44" s="56" t="str">
        <f t="shared" ref="U44" si="85">+CONCATENATE(AN44," ",AO44)</f>
        <v>FED + 3</v>
      </c>
      <c r="V44" s="86" t="str">
        <f>IF(E44=0," ",IF(E44="H",IF(OR(E44="SEN",H44&lt;1998),VLOOKUP(K44,Minimas!$A$11:$G$29,6),IF(AND(H44&gt;1997,H44&lt;2001),VLOOKUP(K44,Minimas!$A$11:$G$29,5),IF(AND(H44&gt;2000,H44&lt;2003),VLOOKUP(K44,Minimas!$A$11:$G$29,4),IF(AND(H44&gt;2002,H44&lt;2005),VLOOKUP(K44,Minimas!$A$11:$G$29,3),VLOOKUP(K44,Minimas!$A$11:$G$29,2))))),IF(OR(H44="SEN",H44&lt;1998),VLOOKUP(K44,Minimas!$G$11:$L$26,6),IF(AND(H44&gt;1997,H44&lt;2001),VLOOKUP(K44,Minimas!$G$11:$L$26,5),IF(AND(H44&gt;2000,H44&lt;2003),VLOOKUP(K44,Minimas!$G$11:$L$26,4),IF(AND(H44&gt;2002,H44&lt;2005),VLOOKUP(K44,Minimas!$G$11:$L$26,3),VLOOKUP(K44,Minimas!$G$11:$L$26,2)))))))</f>
        <v>FC2 63</v>
      </c>
      <c r="W44" s="62">
        <f t="shared" ref="W44" si="86">IF(E44=" "," ",IF(E44="H",10^(0.75194503*LOG(K44/175.508)^2)*T44,IF(E44="F",10^(0.783497476* LOG(K44/153.655)^2)*T44,"")))</f>
        <v>135.78164516416976</v>
      </c>
      <c r="X44" s="63"/>
      <c r="Y44" s="155" t="s">
        <v>441</v>
      </c>
      <c r="AC44" s="90">
        <f>T44-HLOOKUP(V44,Minimas!$C$1:$BN$10,2,FALSE)</f>
        <v>48</v>
      </c>
      <c r="AD44" s="90">
        <f>T44-HLOOKUP(V44,Minimas!$C$1:$BN$10,3,FALSE)</f>
        <v>38</v>
      </c>
      <c r="AE44" s="90">
        <f>T44-HLOOKUP(V44,Minimas!$C$1:$BN$10,4,FALSE)</f>
        <v>28</v>
      </c>
      <c r="AF44" s="90">
        <f>T44-HLOOKUP(V44,Minimas!$C$1:$BN$10,5,FALSE)</f>
        <v>18</v>
      </c>
      <c r="AG44" s="90">
        <f>T44-HLOOKUP(V44,Minimas!$C$1:$BN$10,6,FALSE)</f>
        <v>3</v>
      </c>
      <c r="AH44" s="90">
        <f>T44-HLOOKUP(V44,Minimas!$C$1:$BN$10,7,FALSE)</f>
        <v>-12</v>
      </c>
      <c r="AI44" s="90">
        <f>T44-HLOOKUP(V44,Minimas!$C$1:$BN$10,8,FALSE)</f>
        <v>-27</v>
      </c>
      <c r="AJ44" s="90">
        <f>T44-HLOOKUP(V44,Minimas!$C$1:$BN$10,9,FALSE)</f>
        <v>-42</v>
      </c>
      <c r="AK44" s="90">
        <f>T44-HLOOKUP(V44,Minimas!$C$1:$BN$10,10,FALSE)</f>
        <v>-897</v>
      </c>
      <c r="AL44" s="91" t="str">
        <f t="shared" ref="AL44" si="87">IF(E44=0," ",IF(AK44&gt;=0,$AK$7,IF(AJ44&gt;=0,$AJ$7,IF(AI44&gt;=0,$AI$7,IF(AH44&gt;=0,$AH$7,IF(AG44&gt;=0,$AG$7,IF(AF44&gt;=0,$AF$7,IF(AE44&gt;=0,$AE$7,IF(AD44&gt;=0,$AD$7,$AC$7)))))))))</f>
        <v>FED +</v>
      </c>
      <c r="AN44" s="5" t="str">
        <f t="shared" ref="AN44" si="88">IF(AL44="","",AL44)</f>
        <v>FED +</v>
      </c>
      <c r="AO44" s="5">
        <f t="shared" ref="AO44" si="89">IF(E44=0," ",IF(AK44&gt;=0,AK44,IF(AJ44&gt;=0,AJ44,IF(AI44&gt;=0,AI44,IF(AH44&gt;=0,AH44,IF(AG44&gt;=0,AG44,IF(AF44&gt;=0,AF44,IF(AE44&gt;=0,AE44,IF(AD44&gt;=0,AD44,AC44)))))))))</f>
        <v>3</v>
      </c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</row>
    <row r="45" spans="1:124" s="5" customFormat="1" ht="27.95" customHeight="1" thickBot="1" x14ac:dyDescent="0.25">
      <c r="B45" s="148" t="s">
        <v>123</v>
      </c>
      <c r="C45" s="161">
        <v>394879</v>
      </c>
      <c r="D45" s="92">
        <v>2</v>
      </c>
      <c r="E45" s="84" t="s">
        <v>108</v>
      </c>
      <c r="F45" s="36" t="s">
        <v>446</v>
      </c>
      <c r="G45" s="37" t="s">
        <v>596</v>
      </c>
      <c r="H45" s="92">
        <v>2002</v>
      </c>
      <c r="I45" s="192" t="s">
        <v>139</v>
      </c>
      <c r="J45" s="35" t="s">
        <v>108</v>
      </c>
      <c r="K45" s="103">
        <v>59.1</v>
      </c>
      <c r="L45" s="38">
        <v>42</v>
      </c>
      <c r="M45" s="39">
        <v>44</v>
      </c>
      <c r="N45" s="39">
        <v>-46</v>
      </c>
      <c r="O45" s="54">
        <f t="shared" si="17"/>
        <v>44</v>
      </c>
      <c r="P45" s="53">
        <v>53</v>
      </c>
      <c r="Q45" s="53">
        <v>56</v>
      </c>
      <c r="R45" s="53">
        <v>-58</v>
      </c>
      <c r="S45" s="54">
        <f t="shared" si="18"/>
        <v>56</v>
      </c>
      <c r="T45" s="55">
        <f t="shared" si="19"/>
        <v>100</v>
      </c>
      <c r="U45" s="56" t="str">
        <f t="shared" si="20"/>
        <v>FED + 0</v>
      </c>
      <c r="V45" s="86" t="str">
        <f>IF(E45=0," ",IF(E45="H",IF(OR(E45="SEN",H45&lt;1998),VLOOKUP(K45,Minimas!$A$11:$G$29,6),IF(AND(H45&gt;1997,H45&lt;2001),VLOOKUP(K45,Minimas!$A$11:$G$29,5),IF(AND(H45&gt;2000,H45&lt;2003),VLOOKUP(K45,Minimas!$A$11:$G$29,4),IF(AND(H45&gt;2002,H45&lt;2005),VLOOKUP(K45,Minimas!$A$11:$G$29,3),VLOOKUP(K45,Minimas!$A$11:$G$29,2))))),IF(OR(H45="SEN",H45&lt;1998),VLOOKUP(K45,Minimas!$G$11:$L$26,6),IF(AND(H45&gt;1997,H45&lt;2001),VLOOKUP(K45,Minimas!$G$11:$L$26,5),IF(AND(H45&gt;2000,H45&lt;2003),VLOOKUP(K45,Minimas!$G$11:$L$26,4),IF(AND(H45&gt;2002,H45&lt;2005),VLOOKUP(K45,Minimas!$G$11:$L$26,3),VLOOKUP(K45,Minimas!$G$11:$L$26,2)))))))</f>
        <v>FC2 63</v>
      </c>
      <c r="W45" s="62">
        <f t="shared" si="21"/>
        <v>136.43045646995148</v>
      </c>
      <c r="X45" s="63"/>
      <c r="Y45" s="155" t="s">
        <v>441</v>
      </c>
      <c r="AC45" s="90">
        <f>T45-HLOOKUP(V45,Minimas!$C$1:$BN$10,2,FALSE)</f>
        <v>45</v>
      </c>
      <c r="AD45" s="90">
        <f>T45-HLOOKUP(V45,Minimas!$C$1:$BN$10,3,FALSE)</f>
        <v>35</v>
      </c>
      <c r="AE45" s="90">
        <f>T45-HLOOKUP(V45,Minimas!$C$1:$BN$10,4,FALSE)</f>
        <v>25</v>
      </c>
      <c r="AF45" s="90">
        <f>T45-HLOOKUP(V45,Minimas!$C$1:$BN$10,5,FALSE)</f>
        <v>15</v>
      </c>
      <c r="AG45" s="90">
        <f>T45-HLOOKUP(V45,Minimas!$C$1:$BN$10,6,FALSE)</f>
        <v>0</v>
      </c>
      <c r="AH45" s="90">
        <f>T45-HLOOKUP(V45,Minimas!$C$1:$BN$10,7,FALSE)</f>
        <v>-15</v>
      </c>
      <c r="AI45" s="90">
        <f>T45-HLOOKUP(V45,Minimas!$C$1:$BN$10,8,FALSE)</f>
        <v>-30</v>
      </c>
      <c r="AJ45" s="90">
        <f>T45-HLOOKUP(V45,Minimas!$C$1:$BN$10,9,FALSE)</f>
        <v>-45</v>
      </c>
      <c r="AK45" s="90">
        <f>T45-HLOOKUP(V45,Minimas!$C$1:$BN$10,10,FALSE)</f>
        <v>-900</v>
      </c>
      <c r="AL45" s="91" t="str">
        <f t="shared" si="22"/>
        <v>FED +</v>
      </c>
      <c r="AN45" s="5" t="str">
        <f t="shared" si="23"/>
        <v>FED +</v>
      </c>
      <c r="AO45" s="5">
        <f t="shared" si="24"/>
        <v>0</v>
      </c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</row>
    <row r="46" spans="1:124" s="11" customFormat="1" ht="18" customHeight="1" x14ac:dyDescent="0.2">
      <c r="A46" s="8"/>
      <c r="B46" s="164"/>
      <c r="C46" s="165"/>
      <c r="D46" s="166"/>
      <c r="E46" s="166"/>
      <c r="F46" s="167"/>
      <c r="G46" s="168"/>
      <c r="H46" s="169"/>
      <c r="I46" s="200"/>
      <c r="J46" s="171"/>
      <c r="K46" s="172"/>
      <c r="L46" s="173"/>
      <c r="M46" s="173"/>
      <c r="N46" s="173"/>
      <c r="O46" s="174"/>
      <c r="P46" s="173"/>
      <c r="Q46" s="173"/>
      <c r="R46" s="173"/>
      <c r="S46" s="174"/>
      <c r="T46" s="174"/>
      <c r="U46" s="166"/>
      <c r="V46" s="175"/>
      <c r="W46" s="176"/>
      <c r="X46" s="7"/>
      <c r="Y46" s="177"/>
      <c r="Z46" s="7"/>
      <c r="AA46" s="7"/>
      <c r="AB46" s="89"/>
      <c r="AC46" s="89" t="s">
        <v>60</v>
      </c>
      <c r="AD46" s="89" t="s">
        <v>61</v>
      </c>
      <c r="AE46" s="89" t="s">
        <v>62</v>
      </c>
      <c r="AF46" s="89" t="s">
        <v>63</v>
      </c>
      <c r="AG46" s="89" t="s">
        <v>64</v>
      </c>
      <c r="AH46" s="89" t="s">
        <v>65</v>
      </c>
      <c r="AI46" s="89" t="s">
        <v>66</v>
      </c>
      <c r="AJ46" s="89" t="s">
        <v>67</v>
      </c>
      <c r="AK46" s="89" t="s">
        <v>68</v>
      </c>
      <c r="AL46" s="7"/>
      <c r="AM46" s="7"/>
      <c r="AN46" s="7"/>
      <c r="AO46" s="7"/>
      <c r="AP46" s="7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</row>
    <row r="47" spans="1:124" s="197" customFormat="1" ht="27.95" customHeight="1" x14ac:dyDescent="0.2">
      <c r="B47" s="228" t="s">
        <v>114</v>
      </c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197" t="str">
        <f t="shared" ref="Z47" si="90">IF(P47=0," ",MAXA(P47+Q47,Q47+R47,P47+R47))</f>
        <v xml:space="preserve"> </v>
      </c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</row>
    <row r="48" spans="1:124" s="11" customFormat="1" ht="5.0999999999999996" customHeight="1" thickBot="1" x14ac:dyDescent="0.25">
      <c r="A48" s="8"/>
      <c r="B48" s="178"/>
      <c r="C48" s="179"/>
      <c r="D48" s="180"/>
      <c r="E48" s="180"/>
      <c r="F48" s="181"/>
      <c r="G48" s="182"/>
      <c r="H48" s="183"/>
      <c r="I48" s="206"/>
      <c r="J48" s="185"/>
      <c r="K48" s="186"/>
      <c r="L48" s="187"/>
      <c r="M48" s="187"/>
      <c r="N48" s="187"/>
      <c r="O48" s="188"/>
      <c r="P48" s="187"/>
      <c r="Q48" s="187"/>
      <c r="R48" s="187"/>
      <c r="S48" s="188"/>
      <c r="T48" s="188"/>
      <c r="U48" s="180"/>
      <c r="V48" s="189"/>
      <c r="W48" s="190"/>
      <c r="X48" s="7"/>
      <c r="Y48" s="191"/>
      <c r="Z48" s="7"/>
      <c r="AA48" s="7"/>
      <c r="AB48" s="7"/>
      <c r="AC48" s="89" t="s">
        <v>60</v>
      </c>
      <c r="AD48" s="89" t="s">
        <v>61</v>
      </c>
      <c r="AE48" s="89" t="s">
        <v>62</v>
      </c>
      <c r="AF48" s="89" t="s">
        <v>63</v>
      </c>
      <c r="AG48" s="89" t="s">
        <v>64</v>
      </c>
      <c r="AH48" s="89" t="s">
        <v>65</v>
      </c>
      <c r="AI48" s="89" t="s">
        <v>66</v>
      </c>
      <c r="AJ48" s="89" t="s">
        <v>67</v>
      </c>
      <c r="AK48" s="89" t="s">
        <v>68</v>
      </c>
      <c r="AL48" s="89"/>
      <c r="AM48" s="7"/>
      <c r="AN48" s="7"/>
      <c r="AO48" s="7"/>
      <c r="AP48" s="7"/>
      <c r="AQ48" s="7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:124" s="20" customFormat="1" ht="18" customHeight="1" thickBot="1" x14ac:dyDescent="0.25">
      <c r="A49" s="17"/>
      <c r="B49" s="146" t="s">
        <v>8</v>
      </c>
      <c r="C49" s="153" t="s">
        <v>9</v>
      </c>
      <c r="D49" s="142" t="s">
        <v>6</v>
      </c>
      <c r="E49" s="142" t="s">
        <v>69</v>
      </c>
      <c r="F49" s="210" t="s">
        <v>0</v>
      </c>
      <c r="G49" s="210"/>
      <c r="H49" s="142" t="s">
        <v>11</v>
      </c>
      <c r="I49" s="207" t="s">
        <v>10</v>
      </c>
      <c r="J49" s="64" t="s">
        <v>5</v>
      </c>
      <c r="K49" s="64" t="s">
        <v>1</v>
      </c>
      <c r="L49" s="22">
        <v>1</v>
      </c>
      <c r="M49" s="23">
        <v>2</v>
      </c>
      <c r="N49" s="23">
        <v>3</v>
      </c>
      <c r="O49" s="24" t="s">
        <v>12</v>
      </c>
      <c r="P49" s="22">
        <v>1</v>
      </c>
      <c r="Q49" s="23">
        <v>2</v>
      </c>
      <c r="R49" s="23">
        <v>3</v>
      </c>
      <c r="S49" s="24" t="s">
        <v>13</v>
      </c>
      <c r="T49" s="25" t="s">
        <v>2</v>
      </c>
      <c r="U49" s="64" t="s">
        <v>3</v>
      </c>
      <c r="V49" s="64" t="s">
        <v>7</v>
      </c>
      <c r="W49" s="21" t="s">
        <v>4</v>
      </c>
      <c r="X49" s="61"/>
      <c r="Y49" s="153" t="s">
        <v>313</v>
      </c>
      <c r="Z49" s="18"/>
      <c r="AA49" s="18"/>
      <c r="AB49" s="18"/>
      <c r="AC49" s="87" t="s">
        <v>107</v>
      </c>
      <c r="AD49" s="87" t="s">
        <v>106</v>
      </c>
      <c r="AE49" s="87" t="s">
        <v>62</v>
      </c>
      <c r="AF49" s="87" t="s">
        <v>63</v>
      </c>
      <c r="AG49" s="87" t="s">
        <v>64</v>
      </c>
      <c r="AH49" s="87" t="s">
        <v>65</v>
      </c>
      <c r="AI49" s="87" t="s">
        <v>66</v>
      </c>
      <c r="AJ49" s="87" t="s">
        <v>67</v>
      </c>
      <c r="AK49" s="87" t="s">
        <v>68</v>
      </c>
      <c r="AL49" s="88"/>
      <c r="AM49" s="19"/>
      <c r="AN49" s="19"/>
      <c r="AO49" s="19"/>
      <c r="AP49" s="19"/>
      <c r="AQ49" s="19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  <c r="BT49" s="96"/>
      <c r="BU49" s="96"/>
      <c r="BV49" s="96"/>
      <c r="BW49" s="96"/>
      <c r="BX49" s="96"/>
      <c r="BY49" s="96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</row>
    <row r="50" spans="1:124" s="11" customFormat="1" ht="5.0999999999999996" customHeight="1" thickBot="1" x14ac:dyDescent="0.25">
      <c r="A50" s="8"/>
      <c r="B50" s="178"/>
      <c r="C50" s="179"/>
      <c r="D50" s="180"/>
      <c r="E50" s="180"/>
      <c r="F50" s="181"/>
      <c r="G50" s="182"/>
      <c r="H50" s="183"/>
      <c r="I50" s="206"/>
      <c r="J50" s="185"/>
      <c r="K50" s="186"/>
      <c r="L50" s="187"/>
      <c r="M50" s="187"/>
      <c r="N50" s="187"/>
      <c r="O50" s="188"/>
      <c r="P50" s="187"/>
      <c r="Q50" s="187"/>
      <c r="R50" s="187"/>
      <c r="S50" s="188"/>
      <c r="T50" s="188"/>
      <c r="U50" s="180"/>
      <c r="V50" s="189"/>
      <c r="W50" s="190"/>
      <c r="X50" s="7"/>
      <c r="Y50" s="191"/>
      <c r="Z50" s="7"/>
      <c r="AA50" s="7"/>
      <c r="AB50" s="7"/>
      <c r="AC50" s="89" t="s">
        <v>60</v>
      </c>
      <c r="AD50" s="89" t="s">
        <v>61</v>
      </c>
      <c r="AE50" s="89" t="s">
        <v>62</v>
      </c>
      <c r="AF50" s="89" t="s">
        <v>63</v>
      </c>
      <c r="AG50" s="89" t="s">
        <v>64</v>
      </c>
      <c r="AH50" s="89" t="s">
        <v>65</v>
      </c>
      <c r="AI50" s="89" t="s">
        <v>66</v>
      </c>
      <c r="AJ50" s="89" t="s">
        <v>67</v>
      </c>
      <c r="AK50" s="89" t="s">
        <v>68</v>
      </c>
      <c r="AL50" s="89"/>
      <c r="AM50" s="7"/>
      <c r="AN50" s="7"/>
      <c r="AO50" s="7"/>
      <c r="AP50" s="7"/>
      <c r="AQ50" s="7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s="5" customFormat="1" ht="27.95" customHeight="1" x14ac:dyDescent="0.2">
      <c r="B51" s="148" t="s">
        <v>121</v>
      </c>
      <c r="C51" s="161">
        <v>432758</v>
      </c>
      <c r="D51" s="92">
        <v>1</v>
      </c>
      <c r="E51" s="84" t="s">
        <v>108</v>
      </c>
      <c r="F51" s="36" t="s">
        <v>163</v>
      </c>
      <c r="G51" s="37" t="s">
        <v>597</v>
      </c>
      <c r="H51" s="92">
        <v>2000</v>
      </c>
      <c r="I51" s="192" t="s">
        <v>587</v>
      </c>
      <c r="J51" s="35" t="s">
        <v>108</v>
      </c>
      <c r="K51" s="103">
        <v>52</v>
      </c>
      <c r="L51" s="38">
        <v>44</v>
      </c>
      <c r="M51" s="39">
        <v>-48</v>
      </c>
      <c r="N51" s="39">
        <v>-48</v>
      </c>
      <c r="O51" s="54">
        <f t="shared" si="17"/>
        <v>44</v>
      </c>
      <c r="P51" s="53">
        <v>58</v>
      </c>
      <c r="Q51" s="53">
        <v>60</v>
      </c>
      <c r="R51" s="53">
        <v>-63</v>
      </c>
      <c r="S51" s="54">
        <f t="shared" si="18"/>
        <v>60</v>
      </c>
      <c r="T51" s="55">
        <f t="shared" si="19"/>
        <v>104</v>
      </c>
      <c r="U51" s="56" t="str">
        <f t="shared" si="20"/>
        <v>FED + 4</v>
      </c>
      <c r="V51" s="86" t="str">
        <f>IF(E51=0," ",IF(E51="H",IF(OR(E51="SEN",H51&lt;1998),VLOOKUP(K51,Minimas!$A$11:$G$29,6),IF(AND(H51&gt;1997,H51&lt;2001),VLOOKUP(K51,Minimas!$A$11:$G$29,5),IF(AND(H51&gt;2000,H51&lt;2003),VLOOKUP(K51,Minimas!$A$11:$G$29,4),IF(AND(H51&gt;2002,H51&lt;2005),VLOOKUP(K51,Minimas!$A$11:$G$29,3),VLOOKUP(K51,Minimas!$A$11:$G$29,2))))),IF(OR(H51="SEN",H51&lt;1998),VLOOKUP(K51,Minimas!$G$11:$L$26,6),IF(AND(H51&gt;1997,H51&lt;2001),VLOOKUP(K51,Minimas!$G$11:$L$26,5),IF(AND(H51&gt;2000,H51&lt;2003),VLOOKUP(K51,Minimas!$G$11:$L$26,4),IF(AND(H51&gt;2002,H51&lt;2005),VLOOKUP(K51,Minimas!$G$11:$L$26,3),VLOOKUP(K51,Minimas!$G$11:$L$26,2)))))))</f>
        <v>FJ 53</v>
      </c>
      <c r="W51" s="62">
        <f t="shared" si="21"/>
        <v>155.06305500563195</v>
      </c>
      <c r="X51" s="63"/>
      <c r="Y51" s="157" t="s">
        <v>131</v>
      </c>
      <c r="AC51" s="90">
        <f>T51-HLOOKUP(V51,Minimas!$C$1:$BN$10,2,FALSE)</f>
        <v>49</v>
      </c>
      <c r="AD51" s="90">
        <f>T51-HLOOKUP(V51,Minimas!$C$1:$BN$10,3,FALSE)</f>
        <v>39</v>
      </c>
      <c r="AE51" s="90">
        <f>T51-HLOOKUP(V51,Minimas!$C$1:$BN$10,4,FALSE)</f>
        <v>29</v>
      </c>
      <c r="AF51" s="90">
        <f>T51-HLOOKUP(V51,Minimas!$C$1:$BN$10,5,FALSE)</f>
        <v>19</v>
      </c>
      <c r="AG51" s="90">
        <f>T51-HLOOKUP(V51,Minimas!$C$1:$BN$10,6,FALSE)</f>
        <v>4</v>
      </c>
      <c r="AH51" s="90">
        <f>T51-HLOOKUP(V51,Minimas!$C$1:$BN$10,7,FALSE)</f>
        <v>-6</v>
      </c>
      <c r="AI51" s="90">
        <f>T51-HLOOKUP(V51,Minimas!$C$1:$BN$10,8,FALSE)</f>
        <v>-21</v>
      </c>
      <c r="AJ51" s="90">
        <f>T51-HLOOKUP(V51,Minimas!$C$1:$BN$10,9,FALSE)</f>
        <v>-36</v>
      </c>
      <c r="AK51" s="90">
        <f>T51-HLOOKUP(V51,Minimas!$C$1:$BN$10,10,FALSE)</f>
        <v>-896</v>
      </c>
      <c r="AL51" s="91" t="str">
        <f t="shared" si="22"/>
        <v>FED +</v>
      </c>
      <c r="AN51" s="5" t="str">
        <f t="shared" si="23"/>
        <v>FED +</v>
      </c>
      <c r="AO51" s="5">
        <f t="shared" si="24"/>
        <v>4</v>
      </c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</row>
    <row r="52" spans="1:124" s="5" customFormat="1" ht="27.95" customHeight="1" x14ac:dyDescent="0.2">
      <c r="B52" s="148" t="s">
        <v>129</v>
      </c>
      <c r="C52" s="161">
        <v>434751</v>
      </c>
      <c r="D52" s="92">
        <v>2</v>
      </c>
      <c r="E52" s="84" t="s">
        <v>108</v>
      </c>
      <c r="F52" s="36" t="s">
        <v>447</v>
      </c>
      <c r="G52" s="37" t="s">
        <v>335</v>
      </c>
      <c r="H52" s="92">
        <v>1998</v>
      </c>
      <c r="I52" s="192" t="s">
        <v>375</v>
      </c>
      <c r="J52" s="35" t="s">
        <v>108</v>
      </c>
      <c r="K52" s="103">
        <v>52.3</v>
      </c>
      <c r="L52" s="38">
        <v>45</v>
      </c>
      <c r="M52" s="39">
        <v>47</v>
      </c>
      <c r="N52" s="39">
        <v>-51</v>
      </c>
      <c r="O52" s="54">
        <f t="shared" si="17"/>
        <v>47</v>
      </c>
      <c r="P52" s="53">
        <v>53</v>
      </c>
      <c r="Q52" s="53">
        <v>-55</v>
      </c>
      <c r="R52" s="53">
        <v>57</v>
      </c>
      <c r="S52" s="54">
        <f t="shared" si="18"/>
        <v>57</v>
      </c>
      <c r="T52" s="55">
        <f t="shared" si="19"/>
        <v>104</v>
      </c>
      <c r="U52" s="56" t="str">
        <f t="shared" si="20"/>
        <v>FED + 4</v>
      </c>
      <c r="V52" s="86" t="str">
        <f>IF(E52=0," ",IF(E52="H",IF(OR(E52="SEN",H52&lt;1998),VLOOKUP(K52,Minimas!$A$11:$G$29,6),IF(AND(H52&gt;1997,H52&lt;2001),VLOOKUP(K52,Minimas!$A$11:$G$29,5),IF(AND(H52&gt;2000,H52&lt;2003),VLOOKUP(K52,Minimas!$A$11:$G$29,4),IF(AND(H52&gt;2002,H52&lt;2005),VLOOKUP(K52,Minimas!$A$11:$G$29,3),VLOOKUP(K52,Minimas!$A$11:$G$29,2))))),IF(OR(H52="SEN",H52&lt;1998),VLOOKUP(K52,Minimas!$G$11:$L$26,6),IF(AND(H52&gt;1997,H52&lt;2001),VLOOKUP(K52,Minimas!$G$11:$L$26,5),IF(AND(H52&gt;2000,H52&lt;2003),VLOOKUP(K52,Minimas!$G$11:$L$26,4),IF(AND(H52&gt;2002,H52&lt;2005),VLOOKUP(K52,Minimas!$G$11:$L$26,3),VLOOKUP(K52,Minimas!$G$11:$L$26,2)))))))</f>
        <v>FJ 53</v>
      </c>
      <c r="W52" s="62">
        <f t="shared" si="21"/>
        <v>154.40846262282074</v>
      </c>
      <c r="X52" s="63"/>
      <c r="Y52" s="155" t="s">
        <v>441</v>
      </c>
      <c r="AC52" s="90">
        <f>T52-HLOOKUP(V52,Minimas!$C$1:$BN$10,2,FALSE)</f>
        <v>49</v>
      </c>
      <c r="AD52" s="90">
        <f>T52-HLOOKUP(V52,Minimas!$C$1:$BN$10,3,FALSE)</f>
        <v>39</v>
      </c>
      <c r="AE52" s="90">
        <f>T52-HLOOKUP(V52,Minimas!$C$1:$BN$10,4,FALSE)</f>
        <v>29</v>
      </c>
      <c r="AF52" s="90">
        <f>T52-HLOOKUP(V52,Minimas!$C$1:$BN$10,5,FALSE)</f>
        <v>19</v>
      </c>
      <c r="AG52" s="90">
        <f>T52-HLOOKUP(V52,Minimas!$C$1:$BN$10,6,FALSE)</f>
        <v>4</v>
      </c>
      <c r="AH52" s="90">
        <f>T52-HLOOKUP(V52,Minimas!$C$1:$BN$10,7,FALSE)</f>
        <v>-6</v>
      </c>
      <c r="AI52" s="90">
        <f>T52-HLOOKUP(V52,Minimas!$C$1:$BN$10,8,FALSE)</f>
        <v>-21</v>
      </c>
      <c r="AJ52" s="90">
        <f>T52-HLOOKUP(V52,Minimas!$C$1:$BN$10,9,FALSE)</f>
        <v>-36</v>
      </c>
      <c r="AK52" s="90">
        <f>T52-HLOOKUP(V52,Minimas!$C$1:$BN$10,10,FALSE)</f>
        <v>-896</v>
      </c>
      <c r="AL52" s="91" t="str">
        <f t="shared" si="22"/>
        <v>FED +</v>
      </c>
      <c r="AN52" s="5" t="str">
        <f t="shared" si="23"/>
        <v>FED +</v>
      </c>
      <c r="AO52" s="5">
        <f t="shared" si="24"/>
        <v>4</v>
      </c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</row>
    <row r="53" spans="1:124" s="5" customFormat="1" ht="27.95" customHeight="1" x14ac:dyDescent="0.2">
      <c r="B53" s="148" t="s">
        <v>123</v>
      </c>
      <c r="C53" s="161">
        <v>381293</v>
      </c>
      <c r="D53" s="92">
        <v>3</v>
      </c>
      <c r="E53" s="84" t="s">
        <v>108</v>
      </c>
      <c r="F53" s="36" t="s">
        <v>336</v>
      </c>
      <c r="G53" s="37" t="s">
        <v>579</v>
      </c>
      <c r="H53" s="92">
        <v>1998</v>
      </c>
      <c r="I53" s="192" t="s">
        <v>127</v>
      </c>
      <c r="J53" s="35" t="s">
        <v>108</v>
      </c>
      <c r="K53" s="103">
        <v>50.6</v>
      </c>
      <c r="L53" s="38">
        <v>39</v>
      </c>
      <c r="M53" s="39">
        <v>42</v>
      </c>
      <c r="N53" s="39">
        <v>44</v>
      </c>
      <c r="O53" s="54">
        <f t="shared" ref="O53:O54" si="91">IF(E53="","",IF(MAXA(L53:N53)&lt;=0,0,MAXA(L53:N53)))</f>
        <v>44</v>
      </c>
      <c r="P53" s="53">
        <v>54</v>
      </c>
      <c r="Q53" s="53">
        <v>57</v>
      </c>
      <c r="R53" s="53">
        <v>-60</v>
      </c>
      <c r="S53" s="54">
        <f t="shared" ref="S53:S54" si="92">IF(E53="","",IF(MAXA(P53:R53)&lt;=0,0,MAXA(P53:R53)))</f>
        <v>57</v>
      </c>
      <c r="T53" s="55">
        <f t="shared" ref="T53:T54" si="93">IF(E53="","",IF(OR(O53=0,S53=0),0,O53+S53))</f>
        <v>101</v>
      </c>
      <c r="U53" s="56" t="str">
        <f t="shared" ref="U53:U54" si="94">+CONCATENATE(AN53," ",AO53)</f>
        <v>FED + 1</v>
      </c>
      <c r="V53" s="86" t="str">
        <f>IF(E53=0," ",IF(E53="H",IF(OR(E53="SEN",H53&lt;1998),VLOOKUP(K53,Minimas!$A$11:$G$29,6),IF(AND(H53&gt;1997,H53&lt;2001),VLOOKUP(K53,Minimas!$A$11:$G$29,5),IF(AND(H53&gt;2000,H53&lt;2003),VLOOKUP(K53,Minimas!$A$11:$G$29,4),IF(AND(H53&gt;2002,H53&lt;2005),VLOOKUP(K53,Minimas!$A$11:$G$29,3),VLOOKUP(K53,Minimas!$A$11:$G$29,2))))),IF(OR(H53="SEN",H53&lt;1998),VLOOKUP(K53,Minimas!$G$11:$L$26,6),IF(AND(H53&gt;1997,H53&lt;2001),VLOOKUP(K53,Minimas!$G$11:$L$26,5),IF(AND(H53&gt;2000,H53&lt;2003),VLOOKUP(K53,Minimas!$G$11:$L$26,4),IF(AND(H53&gt;2002,H53&lt;2005),VLOOKUP(K53,Minimas!$G$11:$L$26,3),VLOOKUP(K53,Minimas!$G$11:$L$26,2)))))))</f>
        <v>FJ 53</v>
      </c>
      <c r="W53" s="62">
        <f t="shared" ref="W53:W54" si="95">IF(E53=" "," ",IF(E53="H",10^(0.75194503*LOG(K53/175.508)^2)*T53,IF(E53="F",10^(0.783497476* LOG(K53/153.655)^2)*T53,"")))</f>
        <v>153.6901363429858</v>
      </c>
      <c r="X53" s="63"/>
      <c r="Y53" s="155" t="s">
        <v>441</v>
      </c>
      <c r="AC53" s="90">
        <f>T53-HLOOKUP(V53,Minimas!$C$1:$BN$10,2,FALSE)</f>
        <v>46</v>
      </c>
      <c r="AD53" s="90">
        <f>T53-HLOOKUP(V53,Minimas!$C$1:$BN$10,3,FALSE)</f>
        <v>36</v>
      </c>
      <c r="AE53" s="90">
        <f>T53-HLOOKUP(V53,Minimas!$C$1:$BN$10,4,FALSE)</f>
        <v>26</v>
      </c>
      <c r="AF53" s="90">
        <f>T53-HLOOKUP(V53,Minimas!$C$1:$BN$10,5,FALSE)</f>
        <v>16</v>
      </c>
      <c r="AG53" s="90">
        <f>T53-HLOOKUP(V53,Minimas!$C$1:$BN$10,6,FALSE)</f>
        <v>1</v>
      </c>
      <c r="AH53" s="90">
        <f>T53-HLOOKUP(V53,Minimas!$C$1:$BN$10,7,FALSE)</f>
        <v>-9</v>
      </c>
      <c r="AI53" s="90">
        <f>T53-HLOOKUP(V53,Minimas!$C$1:$BN$10,8,FALSE)</f>
        <v>-24</v>
      </c>
      <c r="AJ53" s="90">
        <f>T53-HLOOKUP(V53,Minimas!$C$1:$BN$10,9,FALSE)</f>
        <v>-39</v>
      </c>
      <c r="AK53" s="90">
        <f>T53-HLOOKUP(V53,Minimas!$C$1:$BN$10,10,FALSE)</f>
        <v>-899</v>
      </c>
      <c r="AL53" s="91" t="str">
        <f t="shared" ref="AL53:AL54" si="96">IF(E53=0," ",IF(AK53&gt;=0,$AK$7,IF(AJ53&gt;=0,$AJ$7,IF(AI53&gt;=0,$AI$7,IF(AH53&gt;=0,$AH$7,IF(AG53&gt;=0,$AG$7,IF(AF53&gt;=0,$AF$7,IF(AE53&gt;=0,$AE$7,IF(AD53&gt;=0,$AD$7,$AC$7)))))))))</f>
        <v>FED +</v>
      </c>
      <c r="AN53" s="5" t="str">
        <f t="shared" ref="AN53:AN54" si="97">IF(AL53="","",AL53)</f>
        <v>FED +</v>
      </c>
      <c r="AO53" s="5">
        <f t="shared" ref="AO53:AO54" si="98">IF(E53=0," ",IF(AK53&gt;=0,AK53,IF(AJ53&gt;=0,AJ53,IF(AI53&gt;=0,AI53,IF(AH53&gt;=0,AH53,IF(AG53&gt;=0,AG53,IF(AF53&gt;=0,AF53,IF(AE53&gt;=0,AE53,IF(AD53&gt;=0,AD53,AC53)))))))))</f>
        <v>1</v>
      </c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</row>
    <row r="54" spans="1:124" s="5" customFormat="1" ht="27.95" customHeight="1" thickBot="1" x14ac:dyDescent="0.25">
      <c r="B54" s="148" t="s">
        <v>324</v>
      </c>
      <c r="C54" s="161">
        <v>436957</v>
      </c>
      <c r="D54" s="92">
        <v>4</v>
      </c>
      <c r="E54" s="84" t="s">
        <v>108</v>
      </c>
      <c r="F54" s="36" t="s">
        <v>337</v>
      </c>
      <c r="G54" s="37" t="s">
        <v>598</v>
      </c>
      <c r="H54" s="92">
        <v>2000</v>
      </c>
      <c r="I54" s="192" t="s">
        <v>588</v>
      </c>
      <c r="J54" s="35" t="s">
        <v>108</v>
      </c>
      <c r="K54" s="103">
        <v>51</v>
      </c>
      <c r="L54" s="38">
        <v>40</v>
      </c>
      <c r="M54" s="39">
        <v>45</v>
      </c>
      <c r="N54" s="39">
        <v>-47</v>
      </c>
      <c r="O54" s="54">
        <f t="shared" si="91"/>
        <v>45</v>
      </c>
      <c r="P54" s="53">
        <v>50</v>
      </c>
      <c r="Q54" s="53">
        <v>55</v>
      </c>
      <c r="R54" s="53">
        <v>-57</v>
      </c>
      <c r="S54" s="54">
        <f t="shared" si="92"/>
        <v>55</v>
      </c>
      <c r="T54" s="55">
        <f t="shared" si="93"/>
        <v>100</v>
      </c>
      <c r="U54" s="56" t="str">
        <f t="shared" si="94"/>
        <v>FED + 0</v>
      </c>
      <c r="V54" s="86" t="str">
        <f>IF(E54=0," ",IF(E54="H",IF(OR(E54="SEN",H54&lt;1998),VLOOKUP(K54,Minimas!$A$11:$G$29,6),IF(AND(H54&gt;1997,H54&lt;2001),VLOOKUP(K54,Minimas!$A$11:$G$29,5),IF(AND(H54&gt;2000,H54&lt;2003),VLOOKUP(K54,Minimas!$A$11:$G$29,4),IF(AND(H54&gt;2002,H54&lt;2005),VLOOKUP(K54,Minimas!$A$11:$G$29,3),VLOOKUP(K54,Minimas!$A$11:$G$29,2))))),IF(OR(H54="SEN",H54&lt;1998),VLOOKUP(K54,Minimas!$G$11:$L$26,6),IF(AND(H54&gt;1997,H54&lt;2001),VLOOKUP(K54,Minimas!$G$11:$L$26,5),IF(AND(H54&gt;2000,H54&lt;2003),VLOOKUP(K54,Minimas!$G$11:$L$26,4),IF(AND(H54&gt;2002,H54&lt;2005),VLOOKUP(K54,Minimas!$G$11:$L$26,3),VLOOKUP(K54,Minimas!$G$11:$L$26,2)))))))</f>
        <v>FJ 53</v>
      </c>
      <c r="W54" s="62">
        <f t="shared" si="95"/>
        <v>151.26861187824596</v>
      </c>
      <c r="X54" s="63"/>
      <c r="Y54" s="156" t="s">
        <v>319</v>
      </c>
      <c r="AC54" s="90">
        <f>T54-HLOOKUP(V54,Minimas!$C$1:$BN$10,2,FALSE)</f>
        <v>45</v>
      </c>
      <c r="AD54" s="90">
        <f>T54-HLOOKUP(V54,Minimas!$C$1:$BN$10,3,FALSE)</f>
        <v>35</v>
      </c>
      <c r="AE54" s="90">
        <f>T54-HLOOKUP(V54,Minimas!$C$1:$BN$10,4,FALSE)</f>
        <v>25</v>
      </c>
      <c r="AF54" s="90">
        <f>T54-HLOOKUP(V54,Minimas!$C$1:$BN$10,5,FALSE)</f>
        <v>15</v>
      </c>
      <c r="AG54" s="90">
        <f>T54-HLOOKUP(V54,Minimas!$C$1:$BN$10,6,FALSE)</f>
        <v>0</v>
      </c>
      <c r="AH54" s="90">
        <f>T54-HLOOKUP(V54,Minimas!$C$1:$BN$10,7,FALSE)</f>
        <v>-10</v>
      </c>
      <c r="AI54" s="90">
        <f>T54-HLOOKUP(V54,Minimas!$C$1:$BN$10,8,FALSE)</f>
        <v>-25</v>
      </c>
      <c r="AJ54" s="90">
        <f>T54-HLOOKUP(V54,Minimas!$C$1:$BN$10,9,FALSE)</f>
        <v>-40</v>
      </c>
      <c r="AK54" s="90">
        <f>T54-HLOOKUP(V54,Minimas!$C$1:$BN$10,10,FALSE)</f>
        <v>-900</v>
      </c>
      <c r="AL54" s="91" t="str">
        <f t="shared" si="96"/>
        <v>FED +</v>
      </c>
      <c r="AN54" s="5" t="str">
        <f t="shared" si="97"/>
        <v>FED +</v>
      </c>
      <c r="AO54" s="5">
        <f t="shared" si="98"/>
        <v>0</v>
      </c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</row>
    <row r="55" spans="1:124" s="11" customFormat="1" ht="5.0999999999999996" customHeight="1" thickBot="1" x14ac:dyDescent="0.25">
      <c r="A55" s="8"/>
      <c r="B55" s="147"/>
      <c r="C55" s="160"/>
      <c r="D55" s="41"/>
      <c r="E55" s="41"/>
      <c r="F55" s="42"/>
      <c r="G55" s="43"/>
      <c r="H55" s="44"/>
      <c r="I55" s="193"/>
      <c r="J55" s="40"/>
      <c r="K55" s="101"/>
      <c r="L55" s="45"/>
      <c r="M55" s="45"/>
      <c r="N55" s="45"/>
      <c r="O55" s="46"/>
      <c r="P55" s="45"/>
      <c r="Q55" s="45"/>
      <c r="R55" s="45"/>
      <c r="S55" s="46"/>
      <c r="T55" s="46"/>
      <c r="U55" s="41"/>
      <c r="V55" s="48"/>
      <c r="W55" s="47"/>
      <c r="X55" s="7"/>
      <c r="Y55" s="154"/>
      <c r="Z55" s="7"/>
      <c r="AA55" s="7"/>
      <c r="AB55" s="7"/>
      <c r="AC55" s="89" t="s">
        <v>60</v>
      </c>
      <c r="AD55" s="89" t="s">
        <v>61</v>
      </c>
      <c r="AE55" s="89" t="s">
        <v>62</v>
      </c>
      <c r="AF55" s="89" t="s">
        <v>63</v>
      </c>
      <c r="AG55" s="89" t="s">
        <v>64</v>
      </c>
      <c r="AH55" s="89" t="s">
        <v>65</v>
      </c>
      <c r="AI55" s="89" t="s">
        <v>66</v>
      </c>
      <c r="AJ55" s="89" t="s">
        <v>67</v>
      </c>
      <c r="AK55" s="89" t="s">
        <v>68</v>
      </c>
      <c r="AL55" s="89"/>
      <c r="AM55" s="7"/>
      <c r="AN55" s="7"/>
      <c r="AO55" s="7"/>
      <c r="AP55" s="7"/>
      <c r="AQ55" s="7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s="5" customFormat="1" ht="27.95" customHeight="1" x14ac:dyDescent="0.2">
      <c r="B56" s="148" t="s">
        <v>122</v>
      </c>
      <c r="C56" s="161">
        <v>430917</v>
      </c>
      <c r="D56" s="92">
        <v>1</v>
      </c>
      <c r="E56" s="84" t="s">
        <v>108</v>
      </c>
      <c r="F56" s="36" t="s">
        <v>164</v>
      </c>
      <c r="G56" s="37" t="s">
        <v>599</v>
      </c>
      <c r="H56" s="92">
        <v>1998</v>
      </c>
      <c r="I56" s="192" t="s">
        <v>586</v>
      </c>
      <c r="J56" s="35" t="s">
        <v>108</v>
      </c>
      <c r="K56" s="103">
        <v>57.9</v>
      </c>
      <c r="L56" s="38">
        <v>44</v>
      </c>
      <c r="M56" s="39">
        <v>47</v>
      </c>
      <c r="N56" s="39">
        <v>50</v>
      </c>
      <c r="O56" s="54">
        <f t="shared" si="17"/>
        <v>50</v>
      </c>
      <c r="P56" s="53">
        <v>55</v>
      </c>
      <c r="Q56" s="53">
        <v>63</v>
      </c>
      <c r="R56" s="53">
        <v>65</v>
      </c>
      <c r="S56" s="54">
        <f t="shared" si="18"/>
        <v>65</v>
      </c>
      <c r="T56" s="55">
        <f t="shared" si="19"/>
        <v>115</v>
      </c>
      <c r="U56" s="56" t="str">
        <f t="shared" si="20"/>
        <v>FED + 10</v>
      </c>
      <c r="V56" s="86" t="str">
        <f>IF(E56=0," ",IF(E56="H",IF(OR(E56="SEN",H56&lt;1998),VLOOKUP(K56,Minimas!$A$11:$G$29,6),IF(AND(H56&gt;1997,H56&lt;2001),VLOOKUP(K56,Minimas!$A$11:$G$29,5),IF(AND(H56&gt;2000,H56&lt;2003),VLOOKUP(K56,Minimas!$A$11:$G$29,4),IF(AND(H56&gt;2002,H56&lt;2005),VLOOKUP(K56,Minimas!$A$11:$G$29,3),VLOOKUP(K56,Minimas!$A$11:$G$29,2))))),IF(OR(H56="SEN",H56&lt;1998),VLOOKUP(K56,Minimas!$G$11:$L$26,6),IF(AND(H56&gt;1997,H56&lt;2001),VLOOKUP(K56,Minimas!$G$11:$L$26,5),IF(AND(H56&gt;2000,H56&lt;2003),VLOOKUP(K56,Minimas!$G$11:$L$26,4),IF(AND(H56&gt;2002,H56&lt;2005),VLOOKUP(K56,Minimas!$G$11:$L$26,3),VLOOKUP(K56,Minimas!$G$11:$L$26,2)))))))</f>
        <v>FJ 58</v>
      </c>
      <c r="W56" s="62">
        <f t="shared" si="21"/>
        <v>159.02458949490693</v>
      </c>
      <c r="X56" s="63"/>
      <c r="Y56" s="157" t="s">
        <v>131</v>
      </c>
      <c r="AC56" s="90">
        <f>T56-HLOOKUP(V56,Minimas!$C$1:$BN$10,2,FALSE)</f>
        <v>55</v>
      </c>
      <c r="AD56" s="90">
        <f>T56-HLOOKUP(V56,Minimas!$C$1:$BN$10,3,FALSE)</f>
        <v>45</v>
      </c>
      <c r="AE56" s="90">
        <f>T56-HLOOKUP(V56,Minimas!$C$1:$BN$10,4,FALSE)</f>
        <v>35</v>
      </c>
      <c r="AF56" s="90">
        <f>T56-HLOOKUP(V56,Minimas!$C$1:$BN$10,5,FALSE)</f>
        <v>25</v>
      </c>
      <c r="AG56" s="90">
        <f>T56-HLOOKUP(V56,Minimas!$C$1:$BN$10,6,FALSE)</f>
        <v>10</v>
      </c>
      <c r="AH56" s="90">
        <f>T56-HLOOKUP(V56,Minimas!$C$1:$BN$10,7,FALSE)</f>
        <v>-5</v>
      </c>
      <c r="AI56" s="90">
        <f>T56-HLOOKUP(V56,Minimas!$C$1:$BN$10,8,FALSE)</f>
        <v>-20</v>
      </c>
      <c r="AJ56" s="90">
        <f>T56-HLOOKUP(V56,Minimas!$C$1:$BN$10,9,FALSE)</f>
        <v>-40</v>
      </c>
      <c r="AK56" s="90">
        <f>T56-HLOOKUP(V56,Minimas!$C$1:$BN$10,10,FALSE)</f>
        <v>-885</v>
      </c>
      <c r="AL56" s="91" t="str">
        <f t="shared" si="22"/>
        <v>FED +</v>
      </c>
      <c r="AN56" s="5" t="str">
        <f t="shared" si="23"/>
        <v>FED +</v>
      </c>
      <c r="AO56" s="5">
        <f t="shared" si="24"/>
        <v>10</v>
      </c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</row>
    <row r="57" spans="1:124" s="5" customFormat="1" ht="27.95" customHeight="1" x14ac:dyDescent="0.2">
      <c r="B57" s="194" t="s">
        <v>138</v>
      </c>
      <c r="C57" s="195">
        <v>429604</v>
      </c>
      <c r="D57" s="92">
        <v>2</v>
      </c>
      <c r="E57" s="84" t="s">
        <v>108</v>
      </c>
      <c r="F57" s="50" t="s">
        <v>165</v>
      </c>
      <c r="G57" s="51" t="s">
        <v>166</v>
      </c>
      <c r="H57" s="85">
        <v>1998</v>
      </c>
      <c r="I57" s="203" t="s">
        <v>589</v>
      </c>
      <c r="J57" s="49" t="s">
        <v>108</v>
      </c>
      <c r="K57" s="102">
        <v>57.3</v>
      </c>
      <c r="L57" s="52">
        <v>46</v>
      </c>
      <c r="M57" s="53">
        <v>49</v>
      </c>
      <c r="N57" s="53">
        <v>51</v>
      </c>
      <c r="O57" s="54">
        <f t="shared" si="17"/>
        <v>51</v>
      </c>
      <c r="P57" s="53">
        <v>62</v>
      </c>
      <c r="Q57" s="53">
        <v>64</v>
      </c>
      <c r="R57" s="53">
        <v>-69</v>
      </c>
      <c r="S57" s="54">
        <f t="shared" si="18"/>
        <v>64</v>
      </c>
      <c r="T57" s="55">
        <f t="shared" si="19"/>
        <v>115</v>
      </c>
      <c r="U57" s="56" t="str">
        <f t="shared" si="20"/>
        <v>FED + 10</v>
      </c>
      <c r="V57" s="86" t="str">
        <f>IF(E57=0," ",IF(E57="H",IF(OR(E57="SEN",H57&lt;1998),VLOOKUP(K57,Minimas!$A$11:$G$29,6),IF(AND(H57&gt;1997,H57&lt;2001),VLOOKUP(K57,Minimas!$A$11:$G$29,5),IF(AND(H57&gt;2000,H57&lt;2003),VLOOKUP(K57,Minimas!$A$11:$G$29,4),IF(AND(H57&gt;2002,H57&lt;2005),VLOOKUP(K57,Minimas!$A$11:$G$29,3),VLOOKUP(K57,Minimas!$A$11:$G$29,2))))),IF(OR(H57="SEN",H57&lt;1998),VLOOKUP(K57,Minimas!$G$11:$L$26,6),IF(AND(H57&gt;1997,H57&lt;2001),VLOOKUP(K57,Minimas!$G$11:$L$26,5),IF(AND(H57&gt;2000,H57&lt;2003),VLOOKUP(K57,Minimas!$G$11:$L$26,4),IF(AND(H57&gt;2002,H57&lt;2005),VLOOKUP(K57,Minimas!$G$11:$L$26,3),VLOOKUP(K57,Minimas!$G$11:$L$26,2)))))))</f>
        <v>FJ 58</v>
      </c>
      <c r="W57" s="62">
        <f t="shared" si="21"/>
        <v>160.13457698224869</v>
      </c>
      <c r="X57" s="63"/>
      <c r="Y57" s="156" t="s">
        <v>319</v>
      </c>
      <c r="AC57" s="90">
        <f>T57-HLOOKUP(V57,Minimas!$C$1:$BN$10,2,FALSE)</f>
        <v>55</v>
      </c>
      <c r="AD57" s="90">
        <f>T57-HLOOKUP(V57,Minimas!$C$1:$BN$10,3,FALSE)</f>
        <v>45</v>
      </c>
      <c r="AE57" s="90">
        <f>T57-HLOOKUP(V57,Minimas!$C$1:$BN$10,4,FALSE)</f>
        <v>35</v>
      </c>
      <c r="AF57" s="90">
        <f>T57-HLOOKUP(V57,Minimas!$C$1:$BN$10,5,FALSE)</f>
        <v>25</v>
      </c>
      <c r="AG57" s="90">
        <f>T57-HLOOKUP(V57,Minimas!$C$1:$BN$10,6,FALSE)</f>
        <v>10</v>
      </c>
      <c r="AH57" s="90">
        <f>T57-HLOOKUP(V57,Minimas!$C$1:$BN$10,7,FALSE)</f>
        <v>-5</v>
      </c>
      <c r="AI57" s="90">
        <f>T57-HLOOKUP(V57,Minimas!$C$1:$BN$10,8,FALSE)</f>
        <v>-20</v>
      </c>
      <c r="AJ57" s="90">
        <f>T57-HLOOKUP(V57,Minimas!$C$1:$BN$10,9,FALSE)</f>
        <v>-40</v>
      </c>
      <c r="AK57" s="90">
        <f>T57-HLOOKUP(V57,Minimas!$C$1:$BN$10,10,FALSE)</f>
        <v>-885</v>
      </c>
      <c r="AL57" s="91" t="str">
        <f t="shared" si="22"/>
        <v>FED +</v>
      </c>
      <c r="AN57" s="5" t="str">
        <f t="shared" si="23"/>
        <v>FED +</v>
      </c>
      <c r="AO57" s="5">
        <f t="shared" si="24"/>
        <v>10</v>
      </c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</row>
    <row r="58" spans="1:124" s="5" customFormat="1" ht="27.95" customHeight="1" x14ac:dyDescent="0.2">
      <c r="B58" s="150" t="s">
        <v>121</v>
      </c>
      <c r="C58" s="163">
        <v>385515</v>
      </c>
      <c r="D58" s="128">
        <v>3</v>
      </c>
      <c r="E58" s="129" t="s">
        <v>108</v>
      </c>
      <c r="F58" s="130" t="s">
        <v>338</v>
      </c>
      <c r="G58" s="131" t="s">
        <v>339</v>
      </c>
      <c r="H58" s="128">
        <v>1999</v>
      </c>
      <c r="I58" s="199" t="s">
        <v>545</v>
      </c>
      <c r="J58" s="132" t="s">
        <v>108</v>
      </c>
      <c r="K58" s="133">
        <v>54.5</v>
      </c>
      <c r="L58" s="134">
        <v>-48</v>
      </c>
      <c r="M58" s="135">
        <v>48</v>
      </c>
      <c r="N58" s="135">
        <v>51</v>
      </c>
      <c r="O58" s="136">
        <f t="shared" si="17"/>
        <v>51</v>
      </c>
      <c r="P58" s="137">
        <v>58</v>
      </c>
      <c r="Q58" s="137">
        <v>60</v>
      </c>
      <c r="R58" s="137">
        <v>62</v>
      </c>
      <c r="S58" s="136">
        <f t="shared" si="18"/>
        <v>62</v>
      </c>
      <c r="T58" s="138">
        <f t="shared" si="19"/>
        <v>113</v>
      </c>
      <c r="U58" s="139" t="str">
        <f t="shared" si="20"/>
        <v>FED + 8</v>
      </c>
      <c r="V58" s="140" t="str">
        <f>IF(E58=0," ",IF(E58="H",IF(OR(E58="SEN",H58&lt;1998),VLOOKUP(K58,Minimas!$A$11:$G$29,6),IF(AND(H58&gt;1997,H58&lt;2001),VLOOKUP(K58,Minimas!$A$11:$G$29,5),IF(AND(H58&gt;2000,H58&lt;2003),VLOOKUP(K58,Minimas!$A$11:$G$29,4),IF(AND(H58&gt;2002,H58&lt;2005),VLOOKUP(K58,Minimas!$A$11:$G$29,3),VLOOKUP(K58,Minimas!$A$11:$G$29,2))))),IF(OR(H58="SEN",H58&lt;1998),VLOOKUP(K58,Minimas!$G$11:$L$26,6),IF(AND(H58&gt;1997,H58&lt;2001),VLOOKUP(K58,Minimas!$G$11:$L$26,5),IF(AND(H58&gt;2000,H58&lt;2003),VLOOKUP(K58,Minimas!$G$11:$L$26,4),IF(AND(H58&gt;2002,H58&lt;2005),VLOOKUP(K58,Minimas!$G$11:$L$26,3),VLOOKUP(K58,Minimas!$G$11:$L$26,2)))))))</f>
        <v>FJ 58</v>
      </c>
      <c r="W58" s="141">
        <f t="shared" si="21"/>
        <v>162.87056744938718</v>
      </c>
      <c r="X58" s="63"/>
      <c r="Y58" s="155" t="s">
        <v>441</v>
      </c>
      <c r="AC58" s="90">
        <f>T58-HLOOKUP(V58,Minimas!$C$1:$BN$10,2,FALSE)</f>
        <v>53</v>
      </c>
      <c r="AD58" s="90">
        <f>T58-HLOOKUP(V58,Minimas!$C$1:$BN$10,3,FALSE)</f>
        <v>43</v>
      </c>
      <c r="AE58" s="90">
        <f>T58-HLOOKUP(V58,Minimas!$C$1:$BN$10,4,FALSE)</f>
        <v>33</v>
      </c>
      <c r="AF58" s="90">
        <f>T58-HLOOKUP(V58,Minimas!$C$1:$BN$10,5,FALSE)</f>
        <v>23</v>
      </c>
      <c r="AG58" s="90">
        <f>T58-HLOOKUP(V58,Minimas!$C$1:$BN$10,6,FALSE)</f>
        <v>8</v>
      </c>
      <c r="AH58" s="90">
        <f>T58-HLOOKUP(V58,Minimas!$C$1:$BN$10,7,FALSE)</f>
        <v>-7</v>
      </c>
      <c r="AI58" s="90">
        <f>T58-HLOOKUP(V58,Minimas!$C$1:$BN$10,8,FALSE)</f>
        <v>-22</v>
      </c>
      <c r="AJ58" s="90">
        <f>T58-HLOOKUP(V58,Minimas!$C$1:$BN$10,9,FALSE)</f>
        <v>-42</v>
      </c>
      <c r="AK58" s="90">
        <f>T58-HLOOKUP(V58,Minimas!$C$1:$BN$10,10,FALSE)</f>
        <v>-887</v>
      </c>
      <c r="AL58" s="91" t="str">
        <f t="shared" si="22"/>
        <v>FED +</v>
      </c>
      <c r="AN58" s="5" t="str">
        <f t="shared" si="23"/>
        <v>FED +</v>
      </c>
      <c r="AO58" s="5">
        <f t="shared" si="24"/>
        <v>8</v>
      </c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</row>
    <row r="59" spans="1:124" s="5" customFormat="1" ht="27.95" customHeight="1" x14ac:dyDescent="0.2">
      <c r="B59" s="194" t="s">
        <v>122</v>
      </c>
      <c r="C59" s="195">
        <v>416104</v>
      </c>
      <c r="D59" s="92">
        <v>4</v>
      </c>
      <c r="E59" s="84" t="s">
        <v>108</v>
      </c>
      <c r="F59" s="50" t="s">
        <v>167</v>
      </c>
      <c r="G59" s="51" t="s">
        <v>448</v>
      </c>
      <c r="H59" s="85">
        <v>2000</v>
      </c>
      <c r="I59" s="203" t="s">
        <v>449</v>
      </c>
      <c r="J59" s="49" t="s">
        <v>108</v>
      </c>
      <c r="K59" s="102">
        <v>56.9</v>
      </c>
      <c r="L59" s="52">
        <v>48</v>
      </c>
      <c r="M59" s="53">
        <v>51</v>
      </c>
      <c r="N59" s="53">
        <v>-53</v>
      </c>
      <c r="O59" s="54">
        <f t="shared" si="17"/>
        <v>51</v>
      </c>
      <c r="P59" s="53">
        <v>55</v>
      </c>
      <c r="Q59" s="53">
        <v>60</v>
      </c>
      <c r="R59" s="53">
        <v>-62</v>
      </c>
      <c r="S59" s="54">
        <f t="shared" si="18"/>
        <v>60</v>
      </c>
      <c r="T59" s="55">
        <f t="shared" si="19"/>
        <v>111</v>
      </c>
      <c r="U59" s="56" t="str">
        <f t="shared" si="20"/>
        <v>FED + 6</v>
      </c>
      <c r="V59" s="86" t="str">
        <f>IF(E59=0," ",IF(E59="H",IF(OR(E59="SEN",H59&lt;1998),VLOOKUP(K59,Minimas!$A$11:$G$29,6),IF(AND(H59&gt;1997,H59&lt;2001),VLOOKUP(K59,Minimas!$A$11:$G$29,5),IF(AND(H59&gt;2000,H59&lt;2003),VLOOKUP(K59,Minimas!$A$11:$G$29,4),IF(AND(H59&gt;2002,H59&lt;2005),VLOOKUP(K59,Minimas!$A$11:$G$29,3),VLOOKUP(K59,Minimas!$A$11:$G$29,2))))),IF(OR(H59="SEN",H59&lt;1998),VLOOKUP(K59,Minimas!$G$11:$L$26,6),IF(AND(H59&gt;1997,H59&lt;2001),VLOOKUP(K59,Minimas!$G$11:$L$26,5),IF(AND(H59&gt;2000,H59&lt;2003),VLOOKUP(K59,Minimas!$G$11:$L$26,4),IF(AND(H59&gt;2002,H59&lt;2005),VLOOKUP(K59,Minimas!$G$11:$L$26,3),VLOOKUP(K59,Minimas!$G$11:$L$26,2)))))))</f>
        <v>FJ 58</v>
      </c>
      <c r="W59" s="62">
        <f t="shared" si="21"/>
        <v>155.29583376770964</v>
      </c>
      <c r="X59" s="63"/>
      <c r="Y59" s="155" t="s">
        <v>441</v>
      </c>
      <c r="AC59" s="90">
        <f>T59-HLOOKUP(V59,Minimas!$C$1:$BN$10,2,FALSE)</f>
        <v>51</v>
      </c>
      <c r="AD59" s="90">
        <f>T59-HLOOKUP(V59,Minimas!$C$1:$BN$10,3,FALSE)</f>
        <v>41</v>
      </c>
      <c r="AE59" s="90">
        <f>T59-HLOOKUP(V59,Minimas!$C$1:$BN$10,4,FALSE)</f>
        <v>31</v>
      </c>
      <c r="AF59" s="90">
        <f>T59-HLOOKUP(V59,Minimas!$C$1:$BN$10,5,FALSE)</f>
        <v>21</v>
      </c>
      <c r="AG59" s="90">
        <f>T59-HLOOKUP(V59,Minimas!$C$1:$BN$10,6,FALSE)</f>
        <v>6</v>
      </c>
      <c r="AH59" s="90">
        <f>T59-HLOOKUP(V59,Minimas!$C$1:$BN$10,7,FALSE)</f>
        <v>-9</v>
      </c>
      <c r="AI59" s="90">
        <f>T59-HLOOKUP(V59,Minimas!$C$1:$BN$10,8,FALSE)</f>
        <v>-24</v>
      </c>
      <c r="AJ59" s="90">
        <f>T59-HLOOKUP(V59,Minimas!$C$1:$BN$10,9,FALSE)</f>
        <v>-44</v>
      </c>
      <c r="AK59" s="90">
        <f>T59-HLOOKUP(V59,Minimas!$C$1:$BN$10,10,FALSE)</f>
        <v>-889</v>
      </c>
      <c r="AL59" s="91" t="str">
        <f t="shared" si="22"/>
        <v>FED +</v>
      </c>
      <c r="AN59" s="5" t="str">
        <f t="shared" si="23"/>
        <v>FED +</v>
      </c>
      <c r="AO59" s="5">
        <f t="shared" si="24"/>
        <v>6</v>
      </c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</row>
    <row r="60" spans="1:124" s="5" customFormat="1" ht="27.95" customHeight="1" x14ac:dyDescent="0.2">
      <c r="B60" s="194" t="s">
        <v>128</v>
      </c>
      <c r="C60" s="195">
        <v>434102</v>
      </c>
      <c r="D60" s="92">
        <v>5</v>
      </c>
      <c r="E60" s="84" t="s">
        <v>108</v>
      </c>
      <c r="F60" s="50" t="s">
        <v>450</v>
      </c>
      <c r="G60" s="51" t="s">
        <v>330</v>
      </c>
      <c r="H60" s="85">
        <v>1998</v>
      </c>
      <c r="I60" s="203" t="s">
        <v>390</v>
      </c>
      <c r="J60" s="49" t="s">
        <v>108</v>
      </c>
      <c r="K60" s="102">
        <v>55.5</v>
      </c>
      <c r="L60" s="52">
        <v>40</v>
      </c>
      <c r="M60" s="53">
        <v>45</v>
      </c>
      <c r="N60" s="53">
        <v>-48</v>
      </c>
      <c r="O60" s="54">
        <f t="shared" si="17"/>
        <v>45</v>
      </c>
      <c r="P60" s="53">
        <v>54</v>
      </c>
      <c r="Q60" s="53">
        <v>-60</v>
      </c>
      <c r="R60" s="53">
        <v>60</v>
      </c>
      <c r="S60" s="54">
        <f t="shared" si="18"/>
        <v>60</v>
      </c>
      <c r="T60" s="55">
        <f t="shared" si="19"/>
        <v>105</v>
      </c>
      <c r="U60" s="56" t="str">
        <f t="shared" si="20"/>
        <v>FED + 0</v>
      </c>
      <c r="V60" s="86" t="str">
        <f>IF(E60=0," ",IF(E60="H",IF(OR(E60="SEN",H60&lt;1998),VLOOKUP(K60,Minimas!$A$11:$G$29,6),IF(AND(H60&gt;1997,H60&lt;2001),VLOOKUP(K60,Minimas!$A$11:$G$29,5),IF(AND(H60&gt;2000,H60&lt;2003),VLOOKUP(K60,Minimas!$A$11:$G$29,4),IF(AND(H60&gt;2002,H60&lt;2005),VLOOKUP(K60,Minimas!$A$11:$G$29,3),VLOOKUP(K60,Minimas!$A$11:$G$29,2))))),IF(OR(H60="SEN",H60&lt;1998),VLOOKUP(K60,Minimas!$G$11:$L$26,6),IF(AND(H60&gt;1997,H60&lt;2001),VLOOKUP(K60,Minimas!$G$11:$L$26,5),IF(AND(H60&gt;2000,H60&lt;2003),VLOOKUP(K60,Minimas!$G$11:$L$26,4),IF(AND(H60&gt;2002,H60&lt;2005),VLOOKUP(K60,Minimas!$G$11:$L$26,3),VLOOKUP(K60,Minimas!$G$11:$L$26,2)))))))</f>
        <v>FJ 58</v>
      </c>
      <c r="W60" s="62">
        <f t="shared" si="21"/>
        <v>149.42810041975815</v>
      </c>
      <c r="X60" s="63"/>
      <c r="Y60" s="155" t="s">
        <v>441</v>
      </c>
      <c r="AC60" s="90">
        <f>T60-HLOOKUP(V60,Minimas!$C$1:$BN$10,2,FALSE)</f>
        <v>45</v>
      </c>
      <c r="AD60" s="90">
        <f>T60-HLOOKUP(V60,Minimas!$C$1:$BN$10,3,FALSE)</f>
        <v>35</v>
      </c>
      <c r="AE60" s="90">
        <f>T60-HLOOKUP(V60,Minimas!$C$1:$BN$10,4,FALSE)</f>
        <v>25</v>
      </c>
      <c r="AF60" s="90">
        <f>T60-HLOOKUP(V60,Minimas!$C$1:$BN$10,5,FALSE)</f>
        <v>15</v>
      </c>
      <c r="AG60" s="90">
        <f>T60-HLOOKUP(V60,Minimas!$C$1:$BN$10,6,FALSE)</f>
        <v>0</v>
      </c>
      <c r="AH60" s="90">
        <f>T60-HLOOKUP(V60,Minimas!$C$1:$BN$10,7,FALSE)</f>
        <v>-15</v>
      </c>
      <c r="AI60" s="90">
        <f>T60-HLOOKUP(V60,Minimas!$C$1:$BN$10,8,FALSE)</f>
        <v>-30</v>
      </c>
      <c r="AJ60" s="90">
        <f>T60-HLOOKUP(V60,Minimas!$C$1:$BN$10,9,FALSE)</f>
        <v>-50</v>
      </c>
      <c r="AK60" s="90">
        <f>T60-HLOOKUP(V60,Minimas!$C$1:$BN$10,10,FALSE)</f>
        <v>-895</v>
      </c>
      <c r="AL60" s="91" t="str">
        <f t="shared" si="22"/>
        <v>FED +</v>
      </c>
      <c r="AN60" s="5" t="str">
        <f t="shared" si="23"/>
        <v>FED +</v>
      </c>
      <c r="AO60" s="5">
        <f t="shared" si="24"/>
        <v>0</v>
      </c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</row>
    <row r="61" spans="1:124" s="5" customFormat="1" ht="27.95" customHeight="1" thickBot="1" x14ac:dyDescent="0.25">
      <c r="B61" s="194" t="s">
        <v>120</v>
      </c>
      <c r="C61" s="195">
        <v>280129</v>
      </c>
      <c r="D61" s="92">
        <v>6</v>
      </c>
      <c r="E61" s="84" t="s">
        <v>108</v>
      </c>
      <c r="F61" s="50" t="s">
        <v>451</v>
      </c>
      <c r="G61" s="51" t="s">
        <v>452</v>
      </c>
      <c r="H61" s="85">
        <v>1999</v>
      </c>
      <c r="I61" s="203" t="s">
        <v>151</v>
      </c>
      <c r="J61" s="49" t="s">
        <v>108</v>
      </c>
      <c r="K61" s="102">
        <v>57.9</v>
      </c>
      <c r="L61" s="52">
        <v>42</v>
      </c>
      <c r="M61" s="53">
        <v>45</v>
      </c>
      <c r="N61" s="53">
        <v>-47</v>
      </c>
      <c r="O61" s="54">
        <f t="shared" ref="O61" si="99">IF(E61="","",IF(MAXA(L61:N61)&lt;=0,0,MAXA(L61:N61)))</f>
        <v>45</v>
      </c>
      <c r="P61" s="53">
        <v>57</v>
      </c>
      <c r="Q61" s="53">
        <v>-60</v>
      </c>
      <c r="R61" s="53">
        <v>60</v>
      </c>
      <c r="S61" s="54">
        <f t="shared" ref="S61" si="100">IF(E61="","",IF(MAXA(P61:R61)&lt;=0,0,MAXA(P61:R61)))</f>
        <v>60</v>
      </c>
      <c r="T61" s="55">
        <f t="shared" ref="T61" si="101">IF(E61="","",IF(OR(O61=0,S61=0),0,O61+S61))</f>
        <v>105</v>
      </c>
      <c r="U61" s="56" t="str">
        <f t="shared" ref="U61" si="102">+CONCATENATE(AN61," ",AO61)</f>
        <v>FED + 0</v>
      </c>
      <c r="V61" s="86" t="str">
        <f>IF(E61=0," ",IF(E61="H",IF(OR(E61="SEN",H61&lt;1998),VLOOKUP(K61,Minimas!$A$11:$G$29,6),IF(AND(H61&gt;1997,H61&lt;2001),VLOOKUP(K61,Minimas!$A$11:$G$29,5),IF(AND(H61&gt;2000,H61&lt;2003),VLOOKUP(K61,Minimas!$A$11:$G$29,4),IF(AND(H61&gt;2002,H61&lt;2005),VLOOKUP(K61,Minimas!$A$11:$G$29,3),VLOOKUP(K61,Minimas!$A$11:$G$29,2))))),IF(OR(H61="SEN",H61&lt;1998),VLOOKUP(K61,Minimas!$G$11:$L$26,6),IF(AND(H61&gt;1997,H61&lt;2001),VLOOKUP(K61,Minimas!$G$11:$L$26,5),IF(AND(H61&gt;2000,H61&lt;2003),VLOOKUP(K61,Minimas!$G$11:$L$26,4),IF(AND(H61&gt;2002,H61&lt;2005),VLOOKUP(K61,Minimas!$G$11:$L$26,3),VLOOKUP(K61,Minimas!$G$11:$L$26,2)))))))</f>
        <v>FJ 58</v>
      </c>
      <c r="W61" s="62">
        <f t="shared" ref="W61" si="103">IF(E61=" "," ",IF(E61="H",10^(0.75194503*LOG(K61/175.508)^2)*T61,IF(E61="F",10^(0.783497476* LOG(K61/153.655)^2)*T61,"")))</f>
        <v>145.19636432143676</v>
      </c>
      <c r="X61" s="63"/>
      <c r="Y61" s="155" t="s">
        <v>441</v>
      </c>
      <c r="AC61" s="90">
        <f>T61-HLOOKUP(V61,Minimas!$C$1:$BN$10,2,FALSE)</f>
        <v>45</v>
      </c>
      <c r="AD61" s="90">
        <f>T61-HLOOKUP(V61,Minimas!$C$1:$BN$10,3,FALSE)</f>
        <v>35</v>
      </c>
      <c r="AE61" s="90">
        <f>T61-HLOOKUP(V61,Minimas!$C$1:$BN$10,4,FALSE)</f>
        <v>25</v>
      </c>
      <c r="AF61" s="90">
        <f>T61-HLOOKUP(V61,Minimas!$C$1:$BN$10,5,FALSE)</f>
        <v>15</v>
      </c>
      <c r="AG61" s="90">
        <f>T61-HLOOKUP(V61,Minimas!$C$1:$BN$10,6,FALSE)</f>
        <v>0</v>
      </c>
      <c r="AH61" s="90">
        <f>T61-HLOOKUP(V61,Minimas!$C$1:$BN$10,7,FALSE)</f>
        <v>-15</v>
      </c>
      <c r="AI61" s="90">
        <f>T61-HLOOKUP(V61,Minimas!$C$1:$BN$10,8,FALSE)</f>
        <v>-30</v>
      </c>
      <c r="AJ61" s="90">
        <f>T61-HLOOKUP(V61,Minimas!$C$1:$BN$10,9,FALSE)</f>
        <v>-50</v>
      </c>
      <c r="AK61" s="90">
        <f>T61-HLOOKUP(V61,Minimas!$C$1:$BN$10,10,FALSE)</f>
        <v>-895</v>
      </c>
      <c r="AL61" s="91" t="str">
        <f t="shared" ref="AL61" si="104">IF(E61=0," ",IF(AK61&gt;=0,$AK$7,IF(AJ61&gt;=0,$AJ$7,IF(AI61&gt;=0,$AI$7,IF(AH61&gt;=0,$AH$7,IF(AG61&gt;=0,$AG$7,IF(AF61&gt;=0,$AF$7,IF(AE61&gt;=0,$AE$7,IF(AD61&gt;=0,$AD$7,$AC$7)))))))))</f>
        <v>FED +</v>
      </c>
      <c r="AN61" s="5" t="str">
        <f t="shared" ref="AN61" si="105">IF(AL61="","",AL61)</f>
        <v>FED +</v>
      </c>
      <c r="AO61" s="5">
        <f t="shared" ref="AO61" si="106">IF(E61=0," ",IF(AK61&gt;=0,AK61,IF(AJ61&gt;=0,AJ61,IF(AI61&gt;=0,AI61,IF(AH61&gt;=0,AH61,IF(AG61&gt;=0,AG61,IF(AF61&gt;=0,AF61,IF(AE61&gt;=0,AE61,IF(AD61&gt;=0,AD61,AC61)))))))))</f>
        <v>0</v>
      </c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</row>
    <row r="62" spans="1:124" s="11" customFormat="1" ht="5.0999999999999996" customHeight="1" thickBot="1" x14ac:dyDescent="0.25">
      <c r="A62" s="8"/>
      <c r="B62" s="147"/>
      <c r="C62" s="160"/>
      <c r="D62" s="41"/>
      <c r="E62" s="41"/>
      <c r="F62" s="42"/>
      <c r="G62" s="43"/>
      <c r="H62" s="44"/>
      <c r="I62" s="193"/>
      <c r="J62" s="40"/>
      <c r="K62" s="101"/>
      <c r="L62" s="45"/>
      <c r="M62" s="45"/>
      <c r="N62" s="45"/>
      <c r="O62" s="46"/>
      <c r="P62" s="45"/>
      <c r="Q62" s="45"/>
      <c r="R62" s="45"/>
      <c r="S62" s="46"/>
      <c r="T62" s="46"/>
      <c r="U62" s="41"/>
      <c r="V62" s="48"/>
      <c r="W62" s="47"/>
      <c r="X62" s="7"/>
      <c r="Y62" s="154"/>
      <c r="Z62" s="7"/>
      <c r="AA62" s="7"/>
      <c r="AB62" s="7"/>
      <c r="AC62" s="89" t="s">
        <v>60</v>
      </c>
      <c r="AD62" s="89" t="s">
        <v>61</v>
      </c>
      <c r="AE62" s="89" t="s">
        <v>62</v>
      </c>
      <c r="AF62" s="89" t="s">
        <v>63</v>
      </c>
      <c r="AG62" s="89" t="s">
        <v>64</v>
      </c>
      <c r="AH62" s="89" t="s">
        <v>65</v>
      </c>
      <c r="AI62" s="89" t="s">
        <v>66</v>
      </c>
      <c r="AJ62" s="89" t="s">
        <v>67</v>
      </c>
      <c r="AK62" s="89" t="s">
        <v>68</v>
      </c>
      <c r="AL62" s="89"/>
      <c r="AM62" s="7"/>
      <c r="AN62" s="7"/>
      <c r="AO62" s="7"/>
      <c r="AP62" s="7"/>
      <c r="AQ62" s="7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s="5" customFormat="1" ht="27.95" customHeight="1" x14ac:dyDescent="0.2">
      <c r="B63" s="148" t="s">
        <v>122</v>
      </c>
      <c r="C63" s="161">
        <v>431959</v>
      </c>
      <c r="D63" s="92">
        <v>1</v>
      </c>
      <c r="E63" s="84" t="s">
        <v>108</v>
      </c>
      <c r="F63" s="36" t="s">
        <v>168</v>
      </c>
      <c r="G63" s="37" t="s">
        <v>600</v>
      </c>
      <c r="H63" s="92">
        <v>1998</v>
      </c>
      <c r="I63" s="192" t="s">
        <v>563</v>
      </c>
      <c r="J63" s="35" t="s">
        <v>108</v>
      </c>
      <c r="K63" s="103">
        <v>62.8</v>
      </c>
      <c r="L63" s="38">
        <v>47</v>
      </c>
      <c r="M63" s="39">
        <v>-51</v>
      </c>
      <c r="N63" s="39">
        <v>51</v>
      </c>
      <c r="O63" s="54">
        <f t="shared" si="17"/>
        <v>51</v>
      </c>
      <c r="P63" s="53">
        <v>65</v>
      </c>
      <c r="Q63" s="53">
        <v>-68</v>
      </c>
      <c r="R63" s="53">
        <v>68</v>
      </c>
      <c r="S63" s="54">
        <f t="shared" si="18"/>
        <v>68</v>
      </c>
      <c r="T63" s="55">
        <f t="shared" si="19"/>
        <v>119</v>
      </c>
      <c r="U63" s="56" t="str">
        <f t="shared" si="20"/>
        <v>FED + 4</v>
      </c>
      <c r="V63" s="86" t="str">
        <f>IF(E63=0," ",IF(E63="H",IF(OR(E63="SEN",H63&lt;1998),VLOOKUP(K63,Minimas!$A$11:$G$29,6),IF(AND(H63&gt;1997,H63&lt;2001),VLOOKUP(K63,Minimas!$A$11:$G$29,5),IF(AND(H63&gt;2000,H63&lt;2003),VLOOKUP(K63,Minimas!$A$11:$G$29,4),IF(AND(H63&gt;2002,H63&lt;2005),VLOOKUP(K63,Minimas!$A$11:$G$29,3),VLOOKUP(K63,Minimas!$A$11:$G$29,2))))),IF(OR(H63="SEN",H63&lt;1998),VLOOKUP(K63,Minimas!$G$11:$L$26,6),IF(AND(H63&gt;1997,H63&lt;2001),VLOOKUP(K63,Minimas!$G$11:$L$26,5),IF(AND(H63&gt;2000,H63&lt;2003),VLOOKUP(K63,Minimas!$G$11:$L$26,4),IF(AND(H63&gt;2002,H63&lt;2005),VLOOKUP(K63,Minimas!$G$11:$L$26,3),VLOOKUP(K63,Minimas!$G$11:$L$26,2)))))))</f>
        <v>FJ 63</v>
      </c>
      <c r="W63" s="62">
        <f t="shared" si="21"/>
        <v>156.26258351464429</v>
      </c>
      <c r="X63" s="63"/>
      <c r="Y63" s="157" t="s">
        <v>131</v>
      </c>
      <c r="AC63" s="90">
        <f>T63-HLOOKUP(V63,Minimas!$C$1:$BN$10,2,FALSE)</f>
        <v>54</v>
      </c>
      <c r="AD63" s="90">
        <f>T63-HLOOKUP(V63,Minimas!$C$1:$BN$10,3,FALSE)</f>
        <v>44</v>
      </c>
      <c r="AE63" s="90">
        <f>T63-HLOOKUP(V63,Minimas!$C$1:$BN$10,4,FALSE)</f>
        <v>34</v>
      </c>
      <c r="AF63" s="90">
        <f>T63-HLOOKUP(V63,Minimas!$C$1:$BN$10,5,FALSE)</f>
        <v>19</v>
      </c>
      <c r="AG63" s="90">
        <f>T63-HLOOKUP(V63,Minimas!$C$1:$BN$10,6,FALSE)</f>
        <v>4</v>
      </c>
      <c r="AH63" s="90">
        <f>T63-HLOOKUP(V63,Minimas!$C$1:$BN$10,7,FALSE)</f>
        <v>-11</v>
      </c>
      <c r="AI63" s="90">
        <f>T63-HLOOKUP(V63,Minimas!$C$1:$BN$10,8,FALSE)</f>
        <v>-26</v>
      </c>
      <c r="AJ63" s="90">
        <f>T63-HLOOKUP(V63,Minimas!$C$1:$BN$10,9,FALSE)</f>
        <v>-46</v>
      </c>
      <c r="AK63" s="90">
        <f>T63-HLOOKUP(V63,Minimas!$C$1:$BN$10,10,FALSE)</f>
        <v>-881</v>
      </c>
      <c r="AL63" s="91" t="str">
        <f t="shared" si="22"/>
        <v>FED +</v>
      </c>
      <c r="AN63" s="5" t="str">
        <f t="shared" si="23"/>
        <v>FED +</v>
      </c>
      <c r="AO63" s="5">
        <f t="shared" si="24"/>
        <v>4</v>
      </c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</row>
    <row r="64" spans="1:124" s="5" customFormat="1" ht="27.95" customHeight="1" x14ac:dyDescent="0.2">
      <c r="B64" s="194" t="s">
        <v>138</v>
      </c>
      <c r="C64" s="195">
        <v>277015</v>
      </c>
      <c r="D64" s="92">
        <v>2</v>
      </c>
      <c r="E64" s="84" t="s">
        <v>108</v>
      </c>
      <c r="F64" s="50" t="s">
        <v>453</v>
      </c>
      <c r="G64" s="51" t="s">
        <v>601</v>
      </c>
      <c r="H64" s="85">
        <v>1999</v>
      </c>
      <c r="I64" s="203" t="s">
        <v>590</v>
      </c>
      <c r="J64" s="49" t="s">
        <v>108</v>
      </c>
      <c r="K64" s="102">
        <v>62.14</v>
      </c>
      <c r="L64" s="52">
        <v>48</v>
      </c>
      <c r="M64" s="53">
        <v>51</v>
      </c>
      <c r="N64" s="53">
        <v>-53</v>
      </c>
      <c r="O64" s="54">
        <f t="shared" ref="O64:O65" si="107">IF(E64="","",IF(MAXA(L64:N64)&lt;=0,0,MAXA(L64:N64)))</f>
        <v>51</v>
      </c>
      <c r="P64" s="53">
        <v>62</v>
      </c>
      <c r="Q64" s="53">
        <v>64</v>
      </c>
      <c r="R64" s="53">
        <v>-66</v>
      </c>
      <c r="S64" s="54">
        <f t="shared" ref="S64:S65" si="108">IF(E64="","",IF(MAXA(P64:R64)&lt;=0,0,MAXA(P64:R64)))</f>
        <v>64</v>
      </c>
      <c r="T64" s="55">
        <f t="shared" ref="T64:T65" si="109">IF(E64="","",IF(OR(O64=0,S64=0),0,O64+S64))</f>
        <v>115</v>
      </c>
      <c r="U64" s="56" t="str">
        <f t="shared" ref="U64:U65" si="110">+CONCATENATE(AN64," ",AO64)</f>
        <v>FED + 0</v>
      </c>
      <c r="V64" s="86" t="str">
        <f>IF(E64=0," ",IF(E64="H",IF(OR(E64="SEN",H64&lt;1998),VLOOKUP(K64,Minimas!$A$11:$G$29,6),IF(AND(H64&gt;1997,H64&lt;2001),VLOOKUP(K64,Minimas!$A$11:$G$29,5),IF(AND(H64&gt;2000,H64&lt;2003),VLOOKUP(K64,Minimas!$A$11:$G$29,4),IF(AND(H64&gt;2002,H64&lt;2005),VLOOKUP(K64,Minimas!$A$11:$G$29,3),VLOOKUP(K64,Minimas!$A$11:$G$29,2))))),IF(OR(H64="SEN",H64&lt;1998),VLOOKUP(K64,Minimas!$G$11:$L$26,6),IF(AND(H64&gt;1997,H64&lt;2001),VLOOKUP(K64,Minimas!$G$11:$L$26,5),IF(AND(H64&gt;2000,H64&lt;2003),VLOOKUP(K64,Minimas!$G$11:$L$26,4),IF(AND(H64&gt;2002,H64&lt;2005),VLOOKUP(K64,Minimas!$G$11:$L$26,3),VLOOKUP(K64,Minimas!$G$11:$L$26,2)))))))</f>
        <v>FJ 63</v>
      </c>
      <c r="W64" s="62">
        <f t="shared" ref="W64:W65" si="111">IF(E64=" "," ",IF(E64="H",10^(0.75194503*LOG(K64/175.508)^2)*T64,IF(E64="F",10^(0.783497476* LOG(K64/153.655)^2)*T64,"")))</f>
        <v>151.99045395790327</v>
      </c>
      <c r="X64" s="63"/>
      <c r="Y64" s="155" t="s">
        <v>441</v>
      </c>
      <c r="AC64" s="90">
        <f>T64-HLOOKUP(V64,Minimas!$C$1:$BN$10,2,FALSE)</f>
        <v>50</v>
      </c>
      <c r="AD64" s="90">
        <f>T64-HLOOKUP(V64,Minimas!$C$1:$BN$10,3,FALSE)</f>
        <v>40</v>
      </c>
      <c r="AE64" s="90">
        <f>T64-HLOOKUP(V64,Minimas!$C$1:$BN$10,4,FALSE)</f>
        <v>30</v>
      </c>
      <c r="AF64" s="90">
        <f>T64-HLOOKUP(V64,Minimas!$C$1:$BN$10,5,FALSE)</f>
        <v>15</v>
      </c>
      <c r="AG64" s="90">
        <f>T64-HLOOKUP(V64,Minimas!$C$1:$BN$10,6,FALSE)</f>
        <v>0</v>
      </c>
      <c r="AH64" s="90">
        <f>T64-HLOOKUP(V64,Minimas!$C$1:$BN$10,7,FALSE)</f>
        <v>-15</v>
      </c>
      <c r="AI64" s="90">
        <f>T64-HLOOKUP(V64,Minimas!$C$1:$BN$10,8,FALSE)</f>
        <v>-30</v>
      </c>
      <c r="AJ64" s="90">
        <f>T64-HLOOKUP(V64,Minimas!$C$1:$BN$10,9,FALSE)</f>
        <v>-50</v>
      </c>
      <c r="AK64" s="90">
        <f>T64-HLOOKUP(V64,Minimas!$C$1:$BN$10,10,FALSE)</f>
        <v>-885</v>
      </c>
      <c r="AL64" s="91" t="str">
        <f t="shared" ref="AL64:AL65" si="112">IF(E64=0," ",IF(AK64&gt;=0,$AK$7,IF(AJ64&gt;=0,$AJ$7,IF(AI64&gt;=0,$AI$7,IF(AH64&gt;=0,$AH$7,IF(AG64&gt;=0,$AG$7,IF(AF64&gt;=0,$AF$7,IF(AE64&gt;=0,$AE$7,IF(AD64&gt;=0,$AD$7,$AC$7)))))))))</f>
        <v>FED +</v>
      </c>
      <c r="AN64" s="5" t="str">
        <f t="shared" ref="AN64:AN65" si="113">IF(AL64="","",AL64)</f>
        <v>FED +</v>
      </c>
      <c r="AO64" s="5">
        <f t="shared" ref="AO64:AO65" si="114">IF(E64=0," ",IF(AK64&gt;=0,AK64,IF(AJ64&gt;=0,AJ64,IF(AI64&gt;=0,AI64,IF(AH64&gt;=0,AH64,IF(AG64&gt;=0,AG64,IF(AF64&gt;=0,AF64,IF(AE64&gt;=0,AE64,IF(AD64&gt;=0,AD64,AC64)))))))))</f>
        <v>0</v>
      </c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</row>
    <row r="65" spans="1:124" s="5" customFormat="1" ht="27.95" customHeight="1" thickBot="1" x14ac:dyDescent="0.25">
      <c r="B65" s="194" t="s">
        <v>314</v>
      </c>
      <c r="C65" s="195">
        <v>405978</v>
      </c>
      <c r="D65" s="92">
        <v>3</v>
      </c>
      <c r="E65" s="84" t="s">
        <v>108</v>
      </c>
      <c r="F65" s="50" t="s">
        <v>454</v>
      </c>
      <c r="G65" s="51" t="s">
        <v>602</v>
      </c>
      <c r="H65" s="85">
        <v>1998</v>
      </c>
      <c r="I65" s="203" t="s">
        <v>591</v>
      </c>
      <c r="J65" s="49" t="s">
        <v>108</v>
      </c>
      <c r="K65" s="102">
        <v>61.2</v>
      </c>
      <c r="L65" s="52">
        <v>50</v>
      </c>
      <c r="M65" s="53">
        <v>-55</v>
      </c>
      <c r="N65" s="53">
        <v>-55</v>
      </c>
      <c r="O65" s="54">
        <f t="shared" si="107"/>
        <v>50</v>
      </c>
      <c r="P65" s="53">
        <v>65</v>
      </c>
      <c r="Q65" s="53">
        <v>-73</v>
      </c>
      <c r="R65" s="53">
        <v>-80</v>
      </c>
      <c r="S65" s="54">
        <f t="shared" si="108"/>
        <v>65</v>
      </c>
      <c r="T65" s="55">
        <f t="shared" si="109"/>
        <v>115</v>
      </c>
      <c r="U65" s="56" t="str">
        <f t="shared" si="110"/>
        <v>FED + 0</v>
      </c>
      <c r="V65" s="86" t="str">
        <f>IF(E65=0," ",IF(E65="H",IF(OR(E65="SEN",H65&lt;1998),VLOOKUP(K65,Minimas!$A$11:$G$29,6),IF(AND(H65&gt;1997,H65&lt;2001),VLOOKUP(K65,Minimas!$A$11:$G$29,5),IF(AND(H65&gt;2000,H65&lt;2003),VLOOKUP(K65,Minimas!$A$11:$G$29,4),IF(AND(H65&gt;2002,H65&lt;2005),VLOOKUP(K65,Minimas!$A$11:$G$29,3),VLOOKUP(K65,Minimas!$A$11:$G$29,2))))),IF(OR(H65="SEN",H65&lt;1998),VLOOKUP(K65,Minimas!$G$11:$L$26,6),IF(AND(H65&gt;1997,H65&lt;2001),VLOOKUP(K65,Minimas!$G$11:$L$26,5),IF(AND(H65&gt;2000,H65&lt;2003),VLOOKUP(K65,Minimas!$G$11:$L$26,4),IF(AND(H65&gt;2002,H65&lt;2005),VLOOKUP(K65,Minimas!$G$11:$L$26,3),VLOOKUP(K65,Minimas!$G$11:$L$26,2)))))))</f>
        <v>FJ 63</v>
      </c>
      <c r="W65" s="62">
        <f t="shared" si="111"/>
        <v>153.43666416215271</v>
      </c>
      <c r="X65" s="63"/>
      <c r="Y65" s="155" t="s">
        <v>441</v>
      </c>
      <c r="AC65" s="90">
        <f>T65-HLOOKUP(V65,Minimas!$C$1:$BN$10,2,FALSE)</f>
        <v>50</v>
      </c>
      <c r="AD65" s="90">
        <f>T65-HLOOKUP(V65,Minimas!$C$1:$BN$10,3,FALSE)</f>
        <v>40</v>
      </c>
      <c r="AE65" s="90">
        <f>T65-HLOOKUP(V65,Minimas!$C$1:$BN$10,4,FALSE)</f>
        <v>30</v>
      </c>
      <c r="AF65" s="90">
        <f>T65-HLOOKUP(V65,Minimas!$C$1:$BN$10,5,FALSE)</f>
        <v>15</v>
      </c>
      <c r="AG65" s="90">
        <f>T65-HLOOKUP(V65,Minimas!$C$1:$BN$10,6,FALSE)</f>
        <v>0</v>
      </c>
      <c r="AH65" s="90">
        <f>T65-HLOOKUP(V65,Minimas!$C$1:$BN$10,7,FALSE)</f>
        <v>-15</v>
      </c>
      <c r="AI65" s="90">
        <f>T65-HLOOKUP(V65,Minimas!$C$1:$BN$10,8,FALSE)</f>
        <v>-30</v>
      </c>
      <c r="AJ65" s="90">
        <f>T65-HLOOKUP(V65,Minimas!$C$1:$BN$10,9,FALSE)</f>
        <v>-50</v>
      </c>
      <c r="AK65" s="90">
        <f>T65-HLOOKUP(V65,Minimas!$C$1:$BN$10,10,FALSE)</f>
        <v>-885</v>
      </c>
      <c r="AL65" s="91" t="str">
        <f t="shared" si="112"/>
        <v>FED +</v>
      </c>
      <c r="AN65" s="5" t="str">
        <f t="shared" si="113"/>
        <v>FED +</v>
      </c>
      <c r="AO65" s="5">
        <f t="shared" si="114"/>
        <v>0</v>
      </c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</row>
    <row r="66" spans="1:124" s="11" customFormat="1" ht="5.0999999999999996" customHeight="1" thickBot="1" x14ac:dyDescent="0.25">
      <c r="A66" s="8"/>
      <c r="B66" s="147"/>
      <c r="C66" s="160"/>
      <c r="D66" s="41"/>
      <c r="E66" s="41"/>
      <c r="F66" s="42"/>
      <c r="G66" s="43"/>
      <c r="H66" s="44"/>
      <c r="I66" s="193"/>
      <c r="J66" s="40"/>
      <c r="K66" s="101"/>
      <c r="L66" s="45"/>
      <c r="M66" s="45"/>
      <c r="N66" s="45"/>
      <c r="O66" s="46"/>
      <c r="P66" s="45"/>
      <c r="Q66" s="45"/>
      <c r="R66" s="45"/>
      <c r="S66" s="46"/>
      <c r="T66" s="46"/>
      <c r="U66" s="41"/>
      <c r="V66" s="48"/>
      <c r="W66" s="47"/>
      <c r="X66" s="7"/>
      <c r="Y66" s="154"/>
      <c r="Z66" s="7"/>
      <c r="AA66" s="7"/>
      <c r="AB66" s="7"/>
      <c r="AC66" s="89" t="s">
        <v>60</v>
      </c>
      <c r="AD66" s="89" t="s">
        <v>61</v>
      </c>
      <c r="AE66" s="89" t="s">
        <v>62</v>
      </c>
      <c r="AF66" s="89" t="s">
        <v>63</v>
      </c>
      <c r="AG66" s="89" t="s">
        <v>64</v>
      </c>
      <c r="AH66" s="89" t="s">
        <v>65</v>
      </c>
      <c r="AI66" s="89" t="s">
        <v>66</v>
      </c>
      <c r="AJ66" s="89" t="s">
        <v>67</v>
      </c>
      <c r="AK66" s="89" t="s">
        <v>68</v>
      </c>
      <c r="AL66" s="89"/>
      <c r="AM66" s="7"/>
      <c r="AN66" s="7"/>
      <c r="AO66" s="7"/>
      <c r="AP66" s="7"/>
      <c r="AQ66" s="7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</row>
    <row r="67" spans="1:124" s="5" customFormat="1" ht="27.95" customHeight="1" x14ac:dyDescent="0.2">
      <c r="B67" s="148" t="s">
        <v>121</v>
      </c>
      <c r="C67" s="161">
        <v>362268</v>
      </c>
      <c r="D67" s="92">
        <v>1</v>
      </c>
      <c r="E67" s="84" t="s">
        <v>108</v>
      </c>
      <c r="F67" s="36" t="s">
        <v>455</v>
      </c>
      <c r="G67" s="37" t="s">
        <v>456</v>
      </c>
      <c r="H67" s="92">
        <v>1998</v>
      </c>
      <c r="I67" s="192" t="s">
        <v>545</v>
      </c>
      <c r="J67" s="35" t="s">
        <v>108</v>
      </c>
      <c r="K67" s="103">
        <v>68.150000000000006</v>
      </c>
      <c r="L67" s="38">
        <v>57</v>
      </c>
      <c r="M67" s="39">
        <v>-59</v>
      </c>
      <c r="N67" s="39">
        <v>60</v>
      </c>
      <c r="O67" s="54">
        <f t="shared" ref="O67" si="115">IF(E67="","",IF(MAXA(L67:N67)&lt;=0,0,MAXA(L67:N67)))</f>
        <v>60</v>
      </c>
      <c r="P67" s="53">
        <v>73</v>
      </c>
      <c r="Q67" s="53">
        <v>75</v>
      </c>
      <c r="R67" s="53">
        <v>-80</v>
      </c>
      <c r="S67" s="54">
        <f t="shared" ref="S67" si="116">IF(E67="","",IF(MAXA(P67:R67)&lt;=0,0,MAXA(P67:R67)))</f>
        <v>75</v>
      </c>
      <c r="T67" s="55">
        <f t="shared" ref="T67" si="117">IF(E67="","",IF(OR(O67=0,S67=0),0,O67+S67))</f>
        <v>135</v>
      </c>
      <c r="U67" s="56" t="str">
        <f t="shared" ref="U67" si="118">+CONCATENATE(AN67," ",AO67)</f>
        <v>FED + 15</v>
      </c>
      <c r="V67" s="86" t="str">
        <f>IF(E67=0," ",IF(E67="H",IF(OR(E67="SEN",H67&lt;1998),VLOOKUP(K67,Minimas!$A$11:$G$29,6),IF(AND(H67&gt;1997,H67&lt;2001),VLOOKUP(K67,Minimas!$A$11:$G$29,5),IF(AND(H67&gt;2000,H67&lt;2003),VLOOKUP(K67,Minimas!$A$11:$G$29,4),IF(AND(H67&gt;2002,H67&lt;2005),VLOOKUP(K67,Minimas!$A$11:$G$29,3),VLOOKUP(K67,Minimas!$A$11:$G$29,2))))),IF(OR(H67="SEN",H67&lt;1998),VLOOKUP(K67,Minimas!$G$11:$L$26,6),IF(AND(H67&gt;1997,H67&lt;2001),VLOOKUP(K67,Minimas!$G$11:$L$26,5),IF(AND(H67&gt;2000,H67&lt;2003),VLOOKUP(K67,Minimas!$G$11:$L$26,4),IF(AND(H67&gt;2002,H67&lt;2005),VLOOKUP(K67,Minimas!$G$11:$L$26,3),VLOOKUP(K67,Minimas!$G$11:$L$26,2)))))))</f>
        <v>FJ 69</v>
      </c>
      <c r="W67" s="62">
        <f t="shared" ref="W67" si="119">IF(E67=" "," ",IF(E67="H",10^(0.75194503*LOG(K67/175.508)^2)*T67,IF(E67="F",10^(0.783497476* LOG(K67/153.655)^2)*T67,"")))</f>
        <v>169.04772300878514</v>
      </c>
      <c r="X67" s="63"/>
      <c r="Y67" s="155" t="s">
        <v>441</v>
      </c>
      <c r="AC67" s="90">
        <f>T67-HLOOKUP(V67,Minimas!$C$1:$BN$10,2,FALSE)</f>
        <v>65</v>
      </c>
      <c r="AD67" s="90">
        <f>T67-HLOOKUP(V67,Minimas!$C$1:$BN$10,3,FALSE)</f>
        <v>55</v>
      </c>
      <c r="AE67" s="90">
        <f>T67-HLOOKUP(V67,Minimas!$C$1:$BN$10,4,FALSE)</f>
        <v>45</v>
      </c>
      <c r="AF67" s="90">
        <f>T67-HLOOKUP(V67,Minimas!$C$1:$BN$10,5,FALSE)</f>
        <v>30</v>
      </c>
      <c r="AG67" s="90">
        <f>T67-HLOOKUP(V67,Minimas!$C$1:$BN$10,6,FALSE)</f>
        <v>15</v>
      </c>
      <c r="AH67" s="90">
        <f>T67-HLOOKUP(V67,Minimas!$C$1:$BN$10,7,FALSE)</f>
        <v>-5</v>
      </c>
      <c r="AI67" s="90">
        <f>T67-HLOOKUP(V67,Minimas!$C$1:$BN$10,8,FALSE)</f>
        <v>-20</v>
      </c>
      <c r="AJ67" s="90">
        <f>T67-HLOOKUP(V67,Minimas!$C$1:$BN$10,9,FALSE)</f>
        <v>-40</v>
      </c>
      <c r="AK67" s="90">
        <f>T67-HLOOKUP(V67,Minimas!$C$1:$BN$10,10,FALSE)</f>
        <v>-865</v>
      </c>
      <c r="AL67" s="91" t="str">
        <f t="shared" ref="AL67" si="120">IF(E67=0," ",IF(AK67&gt;=0,$AK$7,IF(AJ67&gt;=0,$AJ$7,IF(AI67&gt;=0,$AI$7,IF(AH67&gt;=0,$AH$7,IF(AG67&gt;=0,$AG$7,IF(AF67&gt;=0,$AF$7,IF(AE67&gt;=0,$AE$7,IF(AD67&gt;=0,$AD$7,$AC$7)))))))))</f>
        <v>FED +</v>
      </c>
      <c r="AN67" s="5" t="str">
        <f t="shared" ref="AN67" si="121">IF(AL67="","",AL67)</f>
        <v>FED +</v>
      </c>
      <c r="AO67" s="5">
        <f t="shared" ref="AO67" si="122">IF(E67=0," ",IF(AK67&gt;=0,AK67,IF(AJ67&gt;=0,AJ67,IF(AI67&gt;=0,AI67,IF(AH67&gt;=0,AH67,IF(AG67&gt;=0,AG67,IF(AF67&gt;=0,AF67,IF(AE67&gt;=0,AE67,IF(AD67&gt;=0,AD67,AC67)))))))))</f>
        <v>15</v>
      </c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</row>
    <row r="68" spans="1:124" s="5" customFormat="1" ht="27.95" customHeight="1" x14ac:dyDescent="0.2">
      <c r="B68" s="148" t="s">
        <v>121</v>
      </c>
      <c r="C68" s="161">
        <v>391830</v>
      </c>
      <c r="D68" s="92">
        <v>2</v>
      </c>
      <c r="E68" s="84" t="s">
        <v>108</v>
      </c>
      <c r="F68" s="36" t="s">
        <v>169</v>
      </c>
      <c r="G68" s="37" t="s">
        <v>603</v>
      </c>
      <c r="H68" s="92">
        <v>2000</v>
      </c>
      <c r="I68" s="192" t="s">
        <v>561</v>
      </c>
      <c r="J68" s="35" t="s">
        <v>108</v>
      </c>
      <c r="K68" s="103">
        <v>68.7</v>
      </c>
      <c r="L68" s="38">
        <v>56</v>
      </c>
      <c r="M68" s="39">
        <v>-60</v>
      </c>
      <c r="N68" s="39">
        <v>61</v>
      </c>
      <c r="O68" s="54">
        <f t="shared" si="17"/>
        <v>61</v>
      </c>
      <c r="P68" s="53">
        <v>67</v>
      </c>
      <c r="Q68" s="53">
        <v>71</v>
      </c>
      <c r="R68" s="53">
        <v>-73</v>
      </c>
      <c r="S68" s="54">
        <f t="shared" si="18"/>
        <v>71</v>
      </c>
      <c r="T68" s="55">
        <f t="shared" si="19"/>
        <v>132</v>
      </c>
      <c r="U68" s="56" t="str">
        <f t="shared" si="20"/>
        <v>FED + 12</v>
      </c>
      <c r="V68" s="86" t="str">
        <f>IF(E68=0," ",IF(E68="H",IF(OR(E68="SEN",H68&lt;1998),VLOOKUP(K68,Minimas!$A$11:$G$29,6),IF(AND(H68&gt;1997,H68&lt;2001),VLOOKUP(K68,Minimas!$A$11:$G$29,5),IF(AND(H68&gt;2000,H68&lt;2003),VLOOKUP(K68,Minimas!$A$11:$G$29,4),IF(AND(H68&gt;2002,H68&lt;2005),VLOOKUP(K68,Minimas!$A$11:$G$29,3),VLOOKUP(K68,Minimas!$A$11:$G$29,2))))),IF(OR(H68="SEN",H68&lt;1998),VLOOKUP(K68,Minimas!$G$11:$L$26,6),IF(AND(H68&gt;1997,H68&lt;2001),VLOOKUP(K68,Minimas!$G$11:$L$26,5),IF(AND(H68&gt;2000,H68&lt;2003),VLOOKUP(K68,Minimas!$G$11:$L$26,4),IF(AND(H68&gt;2002,H68&lt;2005),VLOOKUP(K68,Minimas!$G$11:$L$26,3),VLOOKUP(K68,Minimas!$G$11:$L$26,2)))))))</f>
        <v>FJ 69</v>
      </c>
      <c r="W68" s="62">
        <f t="shared" si="21"/>
        <v>164.56126530601125</v>
      </c>
      <c r="X68" s="63"/>
      <c r="Y68" s="155" t="s">
        <v>441</v>
      </c>
      <c r="AC68" s="90">
        <f>T68-HLOOKUP(V68,Minimas!$C$1:$BN$10,2,FALSE)</f>
        <v>62</v>
      </c>
      <c r="AD68" s="90">
        <f>T68-HLOOKUP(V68,Minimas!$C$1:$BN$10,3,FALSE)</f>
        <v>52</v>
      </c>
      <c r="AE68" s="90">
        <f>T68-HLOOKUP(V68,Minimas!$C$1:$BN$10,4,FALSE)</f>
        <v>42</v>
      </c>
      <c r="AF68" s="90">
        <f>T68-HLOOKUP(V68,Minimas!$C$1:$BN$10,5,FALSE)</f>
        <v>27</v>
      </c>
      <c r="AG68" s="90">
        <f>T68-HLOOKUP(V68,Minimas!$C$1:$BN$10,6,FALSE)</f>
        <v>12</v>
      </c>
      <c r="AH68" s="90">
        <f>T68-HLOOKUP(V68,Minimas!$C$1:$BN$10,7,FALSE)</f>
        <v>-8</v>
      </c>
      <c r="AI68" s="90">
        <f>T68-HLOOKUP(V68,Minimas!$C$1:$BN$10,8,FALSE)</f>
        <v>-23</v>
      </c>
      <c r="AJ68" s="90">
        <f>T68-HLOOKUP(V68,Minimas!$C$1:$BN$10,9,FALSE)</f>
        <v>-43</v>
      </c>
      <c r="AK68" s="90">
        <f>T68-HLOOKUP(V68,Minimas!$C$1:$BN$10,10,FALSE)</f>
        <v>-868</v>
      </c>
      <c r="AL68" s="91" t="str">
        <f t="shared" si="22"/>
        <v>FED +</v>
      </c>
      <c r="AN68" s="5" t="str">
        <f t="shared" si="23"/>
        <v>FED +</v>
      </c>
      <c r="AO68" s="5">
        <f t="shared" si="24"/>
        <v>12</v>
      </c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</row>
    <row r="69" spans="1:124" s="5" customFormat="1" ht="27.95" customHeight="1" thickBot="1" x14ac:dyDescent="0.25">
      <c r="B69" s="148" t="s">
        <v>121</v>
      </c>
      <c r="C69" s="161">
        <v>365254</v>
      </c>
      <c r="D69" s="92">
        <v>3</v>
      </c>
      <c r="E69" s="84" t="s">
        <v>108</v>
      </c>
      <c r="F69" s="36" t="s">
        <v>170</v>
      </c>
      <c r="G69" s="37" t="s">
        <v>171</v>
      </c>
      <c r="H69" s="92">
        <v>1998</v>
      </c>
      <c r="I69" s="192" t="s">
        <v>545</v>
      </c>
      <c r="J69" s="35" t="s">
        <v>108</v>
      </c>
      <c r="K69" s="103">
        <v>66.28</v>
      </c>
      <c r="L69" s="38">
        <v>54</v>
      </c>
      <c r="M69" s="39">
        <v>-56</v>
      </c>
      <c r="N69" s="39">
        <v>-56</v>
      </c>
      <c r="O69" s="54">
        <f t="shared" si="17"/>
        <v>54</v>
      </c>
      <c r="P69" s="53">
        <v>66</v>
      </c>
      <c r="Q69" s="53">
        <v>-68</v>
      </c>
      <c r="R69" s="53">
        <v>-69</v>
      </c>
      <c r="S69" s="54">
        <f t="shared" si="18"/>
        <v>66</v>
      </c>
      <c r="T69" s="55">
        <f t="shared" si="19"/>
        <v>120</v>
      </c>
      <c r="U69" s="56" t="str">
        <f t="shared" si="20"/>
        <v>FED + 0</v>
      </c>
      <c r="V69" s="86" t="str">
        <f>IF(E69=0," ",IF(E69="H",IF(OR(E69="SEN",H69&lt;1998),VLOOKUP(K69,Minimas!$A$11:$G$29,6),IF(AND(H69&gt;1997,H69&lt;2001),VLOOKUP(K69,Minimas!$A$11:$G$29,5),IF(AND(H69&gt;2000,H69&lt;2003),VLOOKUP(K69,Minimas!$A$11:$G$29,4),IF(AND(H69&gt;2002,H69&lt;2005),VLOOKUP(K69,Minimas!$A$11:$G$29,3),VLOOKUP(K69,Minimas!$A$11:$G$29,2))))),IF(OR(H69="SEN",H69&lt;1998),VLOOKUP(K69,Minimas!$G$11:$L$26,6),IF(AND(H69&gt;1997,H69&lt;2001),VLOOKUP(K69,Minimas!$G$11:$L$26,5),IF(AND(H69&gt;2000,H69&lt;2003),VLOOKUP(K69,Minimas!$G$11:$L$26,4),IF(AND(H69&gt;2002,H69&lt;2005),VLOOKUP(K69,Minimas!$G$11:$L$26,3),VLOOKUP(K69,Minimas!$G$11:$L$26,2)))))))</f>
        <v>FJ 69</v>
      </c>
      <c r="W69" s="62">
        <f t="shared" si="21"/>
        <v>152.63587881505205</v>
      </c>
      <c r="X69" s="63"/>
      <c r="Y69" s="157" t="s">
        <v>131</v>
      </c>
      <c r="AC69" s="90">
        <f>T69-HLOOKUP(V69,Minimas!$C$1:$BN$10,2,FALSE)</f>
        <v>50</v>
      </c>
      <c r="AD69" s="90">
        <f>T69-HLOOKUP(V69,Minimas!$C$1:$BN$10,3,FALSE)</f>
        <v>40</v>
      </c>
      <c r="AE69" s="90">
        <f>T69-HLOOKUP(V69,Minimas!$C$1:$BN$10,4,FALSE)</f>
        <v>30</v>
      </c>
      <c r="AF69" s="90">
        <f>T69-HLOOKUP(V69,Minimas!$C$1:$BN$10,5,FALSE)</f>
        <v>15</v>
      </c>
      <c r="AG69" s="90">
        <f>T69-HLOOKUP(V69,Minimas!$C$1:$BN$10,6,FALSE)</f>
        <v>0</v>
      </c>
      <c r="AH69" s="90">
        <f>T69-HLOOKUP(V69,Minimas!$C$1:$BN$10,7,FALSE)</f>
        <v>-20</v>
      </c>
      <c r="AI69" s="90">
        <f>T69-HLOOKUP(V69,Minimas!$C$1:$BN$10,8,FALSE)</f>
        <v>-35</v>
      </c>
      <c r="AJ69" s="90">
        <f>T69-HLOOKUP(V69,Minimas!$C$1:$BN$10,9,FALSE)</f>
        <v>-55</v>
      </c>
      <c r="AK69" s="90">
        <f>T69-HLOOKUP(V69,Minimas!$C$1:$BN$10,10,FALSE)</f>
        <v>-880</v>
      </c>
      <c r="AL69" s="91" t="str">
        <f t="shared" si="22"/>
        <v>FED +</v>
      </c>
      <c r="AN69" s="5" t="str">
        <f t="shared" si="23"/>
        <v>FED +</v>
      </c>
      <c r="AO69" s="5">
        <f t="shared" si="24"/>
        <v>0</v>
      </c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</row>
    <row r="70" spans="1:124" s="11" customFormat="1" ht="18" customHeight="1" x14ac:dyDescent="0.2">
      <c r="A70" s="8"/>
      <c r="B70" s="164"/>
      <c r="C70" s="165"/>
      <c r="D70" s="166"/>
      <c r="E70" s="166"/>
      <c r="F70" s="167"/>
      <c r="G70" s="168"/>
      <c r="H70" s="169"/>
      <c r="I70" s="200"/>
      <c r="J70" s="171"/>
      <c r="K70" s="172"/>
      <c r="L70" s="173"/>
      <c r="M70" s="173"/>
      <c r="N70" s="173"/>
      <c r="O70" s="174"/>
      <c r="P70" s="173"/>
      <c r="Q70" s="173"/>
      <c r="R70" s="173"/>
      <c r="S70" s="174"/>
      <c r="T70" s="174"/>
      <c r="U70" s="166"/>
      <c r="V70" s="175"/>
      <c r="W70" s="176"/>
      <c r="X70" s="7"/>
      <c r="Y70" s="177"/>
      <c r="Z70" s="7"/>
      <c r="AA70" s="7"/>
      <c r="AB70" s="89"/>
      <c r="AC70" s="89" t="s">
        <v>60</v>
      </c>
      <c r="AD70" s="89" t="s">
        <v>61</v>
      </c>
      <c r="AE70" s="89" t="s">
        <v>62</v>
      </c>
      <c r="AF70" s="89" t="s">
        <v>63</v>
      </c>
      <c r="AG70" s="89" t="s">
        <v>64</v>
      </c>
      <c r="AH70" s="89" t="s">
        <v>65</v>
      </c>
      <c r="AI70" s="89" t="s">
        <v>66</v>
      </c>
      <c r="AJ70" s="89" t="s">
        <v>67</v>
      </c>
      <c r="AK70" s="89" t="s">
        <v>68</v>
      </c>
      <c r="AL70" s="7"/>
      <c r="AM70" s="7"/>
      <c r="AN70" s="7"/>
      <c r="AO70" s="7"/>
      <c r="AP70" s="7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</row>
    <row r="71" spans="1:124" s="5" customFormat="1" ht="27.95" customHeight="1" x14ac:dyDescent="0.2">
      <c r="B71" s="229" t="s">
        <v>115</v>
      </c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229"/>
      <c r="Z71" s="5" t="str">
        <f t="shared" ref="Z71" si="123">IF(P71=0," ",MAXA(P71+Q71,Q71+R71,P71+R71))</f>
        <v xml:space="preserve"> </v>
      </c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</row>
    <row r="72" spans="1:124" s="11" customFormat="1" ht="5.0999999999999996" customHeight="1" thickBot="1" x14ac:dyDescent="0.25">
      <c r="A72" s="8"/>
      <c r="B72" s="178"/>
      <c r="C72" s="179"/>
      <c r="D72" s="180"/>
      <c r="E72" s="180"/>
      <c r="F72" s="181"/>
      <c r="G72" s="182"/>
      <c r="H72" s="183"/>
      <c r="I72" s="206"/>
      <c r="J72" s="185"/>
      <c r="K72" s="186"/>
      <c r="L72" s="187"/>
      <c r="M72" s="187"/>
      <c r="N72" s="187"/>
      <c r="O72" s="188"/>
      <c r="P72" s="187"/>
      <c r="Q72" s="187"/>
      <c r="R72" s="187"/>
      <c r="S72" s="188"/>
      <c r="T72" s="188"/>
      <c r="U72" s="180"/>
      <c r="V72" s="189"/>
      <c r="W72" s="190"/>
      <c r="X72" s="7"/>
      <c r="Y72" s="191"/>
      <c r="Z72" s="7"/>
      <c r="AA72" s="7"/>
      <c r="AB72" s="7"/>
      <c r="AC72" s="89" t="s">
        <v>60</v>
      </c>
      <c r="AD72" s="89" t="s">
        <v>61</v>
      </c>
      <c r="AE72" s="89" t="s">
        <v>62</v>
      </c>
      <c r="AF72" s="89" t="s">
        <v>63</v>
      </c>
      <c r="AG72" s="89" t="s">
        <v>64</v>
      </c>
      <c r="AH72" s="89" t="s">
        <v>65</v>
      </c>
      <c r="AI72" s="89" t="s">
        <v>66</v>
      </c>
      <c r="AJ72" s="89" t="s">
        <v>67</v>
      </c>
      <c r="AK72" s="89" t="s">
        <v>68</v>
      </c>
      <c r="AL72" s="89"/>
      <c r="AM72" s="7"/>
      <c r="AN72" s="7"/>
      <c r="AO72" s="7"/>
      <c r="AP72" s="7"/>
      <c r="AQ72" s="7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s="20" customFormat="1" ht="18" customHeight="1" thickBot="1" x14ac:dyDescent="0.25">
      <c r="A73" s="17"/>
      <c r="B73" s="146" t="s">
        <v>8</v>
      </c>
      <c r="C73" s="153" t="s">
        <v>9</v>
      </c>
      <c r="D73" s="142" t="s">
        <v>6</v>
      </c>
      <c r="E73" s="142" t="s">
        <v>69</v>
      </c>
      <c r="F73" s="210" t="s">
        <v>0</v>
      </c>
      <c r="G73" s="210"/>
      <c r="H73" s="142" t="s">
        <v>11</v>
      </c>
      <c r="I73" s="207" t="s">
        <v>10</v>
      </c>
      <c r="J73" s="64" t="s">
        <v>5</v>
      </c>
      <c r="K73" s="64" t="s">
        <v>1</v>
      </c>
      <c r="L73" s="22">
        <v>1</v>
      </c>
      <c r="M73" s="23">
        <v>2</v>
      </c>
      <c r="N73" s="23">
        <v>3</v>
      </c>
      <c r="O73" s="24" t="s">
        <v>12</v>
      </c>
      <c r="P73" s="22">
        <v>1</v>
      </c>
      <c r="Q73" s="23">
        <v>2</v>
      </c>
      <c r="R73" s="23">
        <v>3</v>
      </c>
      <c r="S73" s="24" t="s">
        <v>13</v>
      </c>
      <c r="T73" s="25" t="s">
        <v>2</v>
      </c>
      <c r="U73" s="64" t="s">
        <v>3</v>
      </c>
      <c r="V73" s="64" t="s">
        <v>7</v>
      </c>
      <c r="W73" s="21" t="s">
        <v>4</v>
      </c>
      <c r="X73" s="61"/>
      <c r="Y73" s="153" t="s">
        <v>313</v>
      </c>
      <c r="Z73" s="18"/>
      <c r="AA73" s="18"/>
      <c r="AB73" s="18"/>
      <c r="AC73" s="87" t="s">
        <v>107</v>
      </c>
      <c r="AD73" s="87" t="s">
        <v>106</v>
      </c>
      <c r="AE73" s="87" t="s">
        <v>62</v>
      </c>
      <c r="AF73" s="87" t="s">
        <v>63</v>
      </c>
      <c r="AG73" s="87" t="s">
        <v>64</v>
      </c>
      <c r="AH73" s="87" t="s">
        <v>65</v>
      </c>
      <c r="AI73" s="87" t="s">
        <v>66</v>
      </c>
      <c r="AJ73" s="87" t="s">
        <v>67</v>
      </c>
      <c r="AK73" s="87" t="s">
        <v>68</v>
      </c>
      <c r="AL73" s="88"/>
      <c r="AM73" s="19"/>
      <c r="AN73" s="19"/>
      <c r="AO73" s="19"/>
      <c r="AP73" s="19"/>
      <c r="AQ73" s="19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/>
      <c r="BY73" s="96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</row>
    <row r="74" spans="1:124" s="11" customFormat="1" ht="5.0999999999999996" customHeight="1" thickBot="1" x14ac:dyDescent="0.25">
      <c r="A74" s="8"/>
      <c r="B74" s="178"/>
      <c r="C74" s="179"/>
      <c r="D74" s="180"/>
      <c r="E74" s="180"/>
      <c r="F74" s="181"/>
      <c r="G74" s="182"/>
      <c r="H74" s="183"/>
      <c r="I74" s="206"/>
      <c r="J74" s="185"/>
      <c r="K74" s="186"/>
      <c r="L74" s="187"/>
      <c r="M74" s="187"/>
      <c r="N74" s="187"/>
      <c r="O74" s="188"/>
      <c r="P74" s="187"/>
      <c r="Q74" s="187"/>
      <c r="R74" s="187"/>
      <c r="S74" s="188"/>
      <c r="T74" s="188"/>
      <c r="U74" s="180"/>
      <c r="V74" s="189"/>
      <c r="W74" s="190"/>
      <c r="X74" s="7"/>
      <c r="Y74" s="191"/>
      <c r="Z74" s="7"/>
      <c r="AA74" s="7"/>
      <c r="AB74" s="7"/>
      <c r="AC74" s="89" t="s">
        <v>60</v>
      </c>
      <c r="AD74" s="89" t="s">
        <v>61</v>
      </c>
      <c r="AE74" s="89" t="s">
        <v>62</v>
      </c>
      <c r="AF74" s="89" t="s">
        <v>63</v>
      </c>
      <c r="AG74" s="89" t="s">
        <v>64</v>
      </c>
      <c r="AH74" s="89" t="s">
        <v>65</v>
      </c>
      <c r="AI74" s="89" t="s">
        <v>66</v>
      </c>
      <c r="AJ74" s="89" t="s">
        <v>67</v>
      </c>
      <c r="AK74" s="89" t="s">
        <v>68</v>
      </c>
      <c r="AL74" s="89"/>
      <c r="AM74" s="7"/>
      <c r="AN74" s="7"/>
      <c r="AO74" s="7"/>
      <c r="AP74" s="7"/>
      <c r="AQ74" s="7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s="5" customFormat="1" ht="27.95" customHeight="1" x14ac:dyDescent="0.2">
      <c r="B75" s="148" t="s">
        <v>120</v>
      </c>
      <c r="C75" s="161">
        <v>308200</v>
      </c>
      <c r="D75" s="92">
        <v>1</v>
      </c>
      <c r="E75" s="84" t="s">
        <v>108</v>
      </c>
      <c r="F75" s="36" t="s">
        <v>174</v>
      </c>
      <c r="G75" s="37" t="s">
        <v>175</v>
      </c>
      <c r="H75" s="92">
        <v>1997</v>
      </c>
      <c r="I75" s="192" t="s">
        <v>176</v>
      </c>
      <c r="J75" s="35" t="s">
        <v>108</v>
      </c>
      <c r="K75" s="103">
        <v>47.6</v>
      </c>
      <c r="L75" s="38">
        <v>47</v>
      </c>
      <c r="M75" s="39">
        <v>50</v>
      </c>
      <c r="N75" s="39">
        <v>-52</v>
      </c>
      <c r="O75" s="54">
        <f t="shared" ref="O75" si="124">IF(E75="","",IF(MAXA(L75:N75)&lt;=0,0,MAXA(L75:N75)))</f>
        <v>50</v>
      </c>
      <c r="P75" s="53">
        <v>63</v>
      </c>
      <c r="Q75" s="53">
        <v>-65</v>
      </c>
      <c r="R75" s="53">
        <v>-65</v>
      </c>
      <c r="S75" s="54">
        <f t="shared" ref="S75" si="125">IF(E75="","",IF(MAXA(P75:R75)&lt;=0,0,MAXA(P75:R75)))</f>
        <v>63</v>
      </c>
      <c r="T75" s="55">
        <f t="shared" ref="T75" si="126">IF(E75="","",IF(OR(O75=0,S75=0),0,O75+S75))</f>
        <v>113</v>
      </c>
      <c r="U75" s="56" t="str">
        <f t="shared" ref="U75" si="127">+CONCATENATE(AN75," ",AO75)</f>
        <v>FED + 13</v>
      </c>
      <c r="V75" s="86" t="str">
        <f>IF(E75=0," ",IF(E75="H",IF(OR(E75="SEN",H75&lt;1998),VLOOKUP(K75,Minimas!$A$11:$G$29,6),IF(AND(H75&gt;1997,H75&lt;2001),VLOOKUP(K75,Minimas!$A$11:$G$29,5),IF(AND(H75&gt;2000,H75&lt;2003),VLOOKUP(K75,Minimas!$A$11:$G$29,4),IF(AND(H75&gt;2002,H75&lt;2005),VLOOKUP(K75,Minimas!$A$11:$G$29,3),VLOOKUP(K75,Minimas!$A$11:$G$29,2))))),IF(OR(H75="SEN",H75&lt;1998),VLOOKUP(K75,Minimas!$G$11:$L$26,6),IF(AND(H75&gt;1997,H75&lt;2001),VLOOKUP(K75,Minimas!$G$11:$L$26,5),IF(AND(H75&gt;2000,H75&lt;2003),VLOOKUP(K75,Minimas!$G$11:$L$26,4),IF(AND(H75&gt;2002,H75&lt;2005),VLOOKUP(K75,Minimas!$G$11:$L$26,3),VLOOKUP(K75,Minimas!$G$11:$L$26,2)))))))</f>
        <v>FS 48</v>
      </c>
      <c r="W75" s="62">
        <f t="shared" ref="W75" si="128">IF(E75=" "," ",IF(E75="H",10^(0.75194503*LOG(K75/175.508)^2)*T75,IF(E75="F",10^(0.783497476* LOG(K75/153.655)^2)*T75,"")))</f>
        <v>180.30995121678535</v>
      </c>
      <c r="X75" s="63"/>
      <c r="Y75" s="155" t="s">
        <v>441</v>
      </c>
      <c r="AC75" s="90">
        <f>T75-HLOOKUP(V75,Minimas!$C$1:$BN$10,2,FALSE)</f>
        <v>58</v>
      </c>
      <c r="AD75" s="90">
        <f>T75-HLOOKUP(V75,Minimas!$C$1:$BN$10,3,FALSE)</f>
        <v>48</v>
      </c>
      <c r="AE75" s="90">
        <f>T75-HLOOKUP(V75,Minimas!$C$1:$BN$10,4,FALSE)</f>
        <v>38</v>
      </c>
      <c r="AF75" s="90">
        <f>T75-HLOOKUP(V75,Minimas!$C$1:$BN$10,5,FALSE)</f>
        <v>28</v>
      </c>
      <c r="AG75" s="90">
        <f>T75-HLOOKUP(V75,Minimas!$C$1:$BN$10,6,FALSE)</f>
        <v>13</v>
      </c>
      <c r="AH75" s="90">
        <f>T75-HLOOKUP(V75,Minimas!$C$1:$BN$10,7,FALSE)</f>
        <v>-2</v>
      </c>
      <c r="AI75" s="90">
        <f>T75-HLOOKUP(V75,Minimas!$C$1:$BN$10,8,FALSE)</f>
        <v>-17</v>
      </c>
      <c r="AJ75" s="90">
        <f>T75-HLOOKUP(V75,Minimas!$C$1:$BN$10,9,FALSE)</f>
        <v>-32</v>
      </c>
      <c r="AK75" s="90">
        <f>T75-HLOOKUP(V75,Minimas!$C$1:$BN$10,10,FALSE)</f>
        <v>-47</v>
      </c>
      <c r="AL75" s="91" t="str">
        <f t="shared" ref="AL75" si="129">IF(E75=0," ",IF(AK75&gt;=0,$AK$7,IF(AJ75&gt;=0,$AJ$7,IF(AI75&gt;=0,$AI$7,IF(AH75&gt;=0,$AH$7,IF(AG75&gt;=0,$AG$7,IF(AF75&gt;=0,$AF$7,IF(AE75&gt;=0,$AE$7,IF(AD75&gt;=0,$AD$7,$AC$7)))))))))</f>
        <v>FED +</v>
      </c>
      <c r="AN75" s="5" t="str">
        <f t="shared" ref="AN75" si="130">IF(AL75="","",AL75)</f>
        <v>FED +</v>
      </c>
      <c r="AO75" s="5">
        <f t="shared" ref="AO75" si="131">IF(E75=0," ",IF(AK75&gt;=0,AK75,IF(AJ75&gt;=0,AJ75,IF(AI75&gt;=0,AI75,IF(AH75&gt;=0,AH75,IF(AG75&gt;=0,AG75,IF(AF75&gt;=0,AF75,IF(AE75&gt;=0,AE75,IF(AD75&gt;=0,AD75,AC75)))))))))</f>
        <v>13</v>
      </c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</row>
    <row r="76" spans="1:124" s="5" customFormat="1" ht="27.95" customHeight="1" x14ac:dyDescent="0.2">
      <c r="B76" s="148" t="s">
        <v>525</v>
      </c>
      <c r="C76" s="161">
        <v>400587</v>
      </c>
      <c r="D76" s="92">
        <v>2</v>
      </c>
      <c r="E76" s="84" t="s">
        <v>108</v>
      </c>
      <c r="F76" s="36" t="s">
        <v>172</v>
      </c>
      <c r="G76" s="37" t="s">
        <v>173</v>
      </c>
      <c r="H76" s="92">
        <v>1996</v>
      </c>
      <c r="I76" s="192" t="s">
        <v>567</v>
      </c>
      <c r="J76" s="35" t="s">
        <v>108</v>
      </c>
      <c r="K76" s="103">
        <v>43.1</v>
      </c>
      <c r="L76" s="38">
        <v>42</v>
      </c>
      <c r="M76" s="39">
        <v>47</v>
      </c>
      <c r="N76" s="39">
        <v>52</v>
      </c>
      <c r="O76" s="54">
        <f t="shared" si="17"/>
        <v>52</v>
      </c>
      <c r="P76" s="53">
        <v>53</v>
      </c>
      <c r="Q76" s="53">
        <v>57</v>
      </c>
      <c r="R76" s="53">
        <v>-63</v>
      </c>
      <c r="S76" s="54">
        <f t="shared" si="18"/>
        <v>57</v>
      </c>
      <c r="T76" s="55">
        <f t="shared" si="19"/>
        <v>109</v>
      </c>
      <c r="U76" s="56" t="str">
        <f t="shared" si="20"/>
        <v>FED + 9</v>
      </c>
      <c r="V76" s="86" t="str">
        <f>IF(E76=0," ",IF(E76="H",IF(OR(E76="SEN",H76&lt;1998),VLOOKUP(K76,Minimas!$A$11:$G$29,6),IF(AND(H76&gt;1997,H76&lt;2001),VLOOKUP(K76,Minimas!$A$11:$G$29,5),IF(AND(H76&gt;2000,H76&lt;2003),VLOOKUP(K76,Minimas!$A$11:$G$29,4),IF(AND(H76&gt;2002,H76&lt;2005),VLOOKUP(K76,Minimas!$A$11:$G$29,3),VLOOKUP(K76,Minimas!$A$11:$G$29,2))))),IF(OR(H76="SEN",H76&lt;1998),VLOOKUP(K76,Minimas!$G$11:$L$26,6),IF(AND(H76&gt;1997,H76&lt;2001),VLOOKUP(K76,Minimas!$G$11:$L$26,5),IF(AND(H76&gt;2000,H76&lt;2003),VLOOKUP(K76,Minimas!$G$11:$L$26,4),IF(AND(H76&gt;2002,H76&lt;2005),VLOOKUP(K76,Minimas!$G$11:$L$26,3),VLOOKUP(K76,Minimas!$G$11:$L$26,2)))))))</f>
        <v>FS 48</v>
      </c>
      <c r="W76" s="62">
        <f t="shared" si="21"/>
        <v>188.89539454025754</v>
      </c>
      <c r="X76" s="63"/>
      <c r="Y76" s="155" t="s">
        <v>441</v>
      </c>
      <c r="AC76" s="90">
        <f>T76-HLOOKUP(V76,Minimas!$C$1:$BN$10,2,FALSE)</f>
        <v>54</v>
      </c>
      <c r="AD76" s="90">
        <f>T76-HLOOKUP(V76,Minimas!$C$1:$BN$10,3,FALSE)</f>
        <v>44</v>
      </c>
      <c r="AE76" s="90">
        <f>T76-HLOOKUP(V76,Minimas!$C$1:$BN$10,4,FALSE)</f>
        <v>34</v>
      </c>
      <c r="AF76" s="90">
        <f>T76-HLOOKUP(V76,Minimas!$C$1:$BN$10,5,FALSE)</f>
        <v>24</v>
      </c>
      <c r="AG76" s="90">
        <f>T76-HLOOKUP(V76,Minimas!$C$1:$BN$10,6,FALSE)</f>
        <v>9</v>
      </c>
      <c r="AH76" s="90">
        <f>T76-HLOOKUP(V76,Minimas!$C$1:$BN$10,7,FALSE)</f>
        <v>-6</v>
      </c>
      <c r="AI76" s="90">
        <f>T76-HLOOKUP(V76,Minimas!$C$1:$BN$10,8,FALSE)</f>
        <v>-21</v>
      </c>
      <c r="AJ76" s="90">
        <f>T76-HLOOKUP(V76,Minimas!$C$1:$BN$10,9,FALSE)</f>
        <v>-36</v>
      </c>
      <c r="AK76" s="90">
        <f>T76-HLOOKUP(V76,Minimas!$C$1:$BN$10,10,FALSE)</f>
        <v>-51</v>
      </c>
      <c r="AL76" s="91" t="str">
        <f t="shared" si="22"/>
        <v>FED +</v>
      </c>
      <c r="AN76" s="5" t="str">
        <f t="shared" si="23"/>
        <v>FED +</v>
      </c>
      <c r="AO76" s="5">
        <f t="shared" si="24"/>
        <v>9</v>
      </c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</row>
    <row r="77" spans="1:124" s="5" customFormat="1" ht="27.95" customHeight="1" x14ac:dyDescent="0.2">
      <c r="B77" s="148" t="s">
        <v>129</v>
      </c>
      <c r="C77" s="161">
        <v>415582</v>
      </c>
      <c r="D77" s="92">
        <v>3</v>
      </c>
      <c r="E77" s="84" t="s">
        <v>108</v>
      </c>
      <c r="F77" s="36" t="s">
        <v>177</v>
      </c>
      <c r="G77" s="37" t="s">
        <v>629</v>
      </c>
      <c r="H77" s="92">
        <v>1997</v>
      </c>
      <c r="I77" s="192" t="s">
        <v>604</v>
      </c>
      <c r="J77" s="35" t="s">
        <v>108</v>
      </c>
      <c r="K77" s="103">
        <v>47.5</v>
      </c>
      <c r="L77" s="38">
        <v>-46</v>
      </c>
      <c r="M77" s="39">
        <v>-46</v>
      </c>
      <c r="N77" s="39">
        <v>46</v>
      </c>
      <c r="O77" s="54">
        <f t="shared" si="17"/>
        <v>46</v>
      </c>
      <c r="P77" s="53">
        <v>54</v>
      </c>
      <c r="Q77" s="53">
        <v>56</v>
      </c>
      <c r="R77" s="53">
        <v>58</v>
      </c>
      <c r="S77" s="54">
        <f t="shared" si="18"/>
        <v>58</v>
      </c>
      <c r="T77" s="55">
        <f t="shared" si="19"/>
        <v>104</v>
      </c>
      <c r="U77" s="56" t="str">
        <f t="shared" si="20"/>
        <v>FED + 4</v>
      </c>
      <c r="V77" s="86" t="str">
        <f>IF(E77=0," ",IF(E77="H",IF(OR(E77="SEN",H77&lt;1998),VLOOKUP(K77,Minimas!$A$11:$G$29,6),IF(AND(H77&gt;1997,H77&lt;2001),VLOOKUP(K77,Minimas!$A$11:$G$29,5),IF(AND(H77&gt;2000,H77&lt;2003),VLOOKUP(K77,Minimas!$A$11:$G$29,4),IF(AND(H77&gt;2002,H77&lt;2005),VLOOKUP(K77,Minimas!$A$11:$G$29,3),VLOOKUP(K77,Minimas!$A$11:$G$29,2))))),IF(OR(H77="SEN",H77&lt;1998),VLOOKUP(K77,Minimas!$G$11:$L$26,6),IF(AND(H77&gt;1997,H77&lt;2001),VLOOKUP(K77,Minimas!$G$11:$L$26,5),IF(AND(H77&gt;2000,H77&lt;2003),VLOOKUP(K77,Minimas!$G$11:$L$26,4),IF(AND(H77&gt;2002,H77&lt;2005),VLOOKUP(K77,Minimas!$G$11:$L$26,3),VLOOKUP(K77,Minimas!$G$11:$L$26,2)))))))</f>
        <v>FS 48</v>
      </c>
      <c r="W77" s="62">
        <f t="shared" si="21"/>
        <v>166.22779418182915</v>
      </c>
      <c r="X77" s="63"/>
      <c r="Y77" s="157" t="s">
        <v>131</v>
      </c>
      <c r="AC77" s="90">
        <f>T77-HLOOKUP(V77,Minimas!$C$1:$BN$10,2,FALSE)</f>
        <v>49</v>
      </c>
      <c r="AD77" s="90">
        <f>T77-HLOOKUP(V77,Minimas!$C$1:$BN$10,3,FALSE)</f>
        <v>39</v>
      </c>
      <c r="AE77" s="90">
        <f>T77-HLOOKUP(V77,Minimas!$C$1:$BN$10,4,FALSE)</f>
        <v>29</v>
      </c>
      <c r="AF77" s="90">
        <f>T77-HLOOKUP(V77,Minimas!$C$1:$BN$10,5,FALSE)</f>
        <v>19</v>
      </c>
      <c r="AG77" s="90">
        <f>T77-HLOOKUP(V77,Minimas!$C$1:$BN$10,6,FALSE)</f>
        <v>4</v>
      </c>
      <c r="AH77" s="90">
        <f>T77-HLOOKUP(V77,Minimas!$C$1:$BN$10,7,FALSE)</f>
        <v>-11</v>
      </c>
      <c r="AI77" s="90">
        <f>T77-HLOOKUP(V77,Minimas!$C$1:$BN$10,8,FALSE)</f>
        <v>-26</v>
      </c>
      <c r="AJ77" s="90">
        <f>T77-HLOOKUP(V77,Minimas!$C$1:$BN$10,9,FALSE)</f>
        <v>-41</v>
      </c>
      <c r="AK77" s="90">
        <f>T77-HLOOKUP(V77,Minimas!$C$1:$BN$10,10,FALSE)</f>
        <v>-56</v>
      </c>
      <c r="AL77" s="91" t="str">
        <f t="shared" si="22"/>
        <v>FED +</v>
      </c>
      <c r="AN77" s="5" t="str">
        <f t="shared" si="23"/>
        <v>FED +</v>
      </c>
      <c r="AO77" s="5">
        <f t="shared" si="24"/>
        <v>4</v>
      </c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</row>
    <row r="78" spans="1:124" s="5" customFormat="1" ht="27.95" customHeight="1" x14ac:dyDescent="0.2">
      <c r="B78" s="148" t="s">
        <v>138</v>
      </c>
      <c r="C78" s="161">
        <v>15475</v>
      </c>
      <c r="D78" s="92">
        <v>4</v>
      </c>
      <c r="E78" s="84" t="s">
        <v>108</v>
      </c>
      <c r="F78" s="36" t="s">
        <v>178</v>
      </c>
      <c r="G78" s="37" t="s">
        <v>179</v>
      </c>
      <c r="H78" s="92">
        <v>1969</v>
      </c>
      <c r="I78" s="192" t="s">
        <v>605</v>
      </c>
      <c r="J78" s="35" t="s">
        <v>108</v>
      </c>
      <c r="K78" s="103">
        <v>46.8</v>
      </c>
      <c r="L78" s="38">
        <v>40</v>
      </c>
      <c r="M78" s="39">
        <v>45</v>
      </c>
      <c r="N78" s="39">
        <v>47</v>
      </c>
      <c r="O78" s="54">
        <f t="shared" si="17"/>
        <v>47</v>
      </c>
      <c r="P78" s="53">
        <v>53</v>
      </c>
      <c r="Q78" s="53">
        <v>-57</v>
      </c>
      <c r="R78" s="53">
        <v>0</v>
      </c>
      <c r="S78" s="54">
        <f t="shared" si="18"/>
        <v>53</v>
      </c>
      <c r="T78" s="55">
        <f t="shared" si="19"/>
        <v>100</v>
      </c>
      <c r="U78" s="56" t="str">
        <f t="shared" si="20"/>
        <v>FED + 0</v>
      </c>
      <c r="V78" s="86" t="str">
        <f>IF(E78=0," ",IF(E78="H",IF(OR(E78="SEN",H78&lt;1998),VLOOKUP(K78,Minimas!$A$11:$G$29,6),IF(AND(H78&gt;1997,H78&lt;2001),VLOOKUP(K78,Minimas!$A$11:$G$29,5),IF(AND(H78&gt;2000,H78&lt;2003),VLOOKUP(K78,Minimas!$A$11:$G$29,4),IF(AND(H78&gt;2002,H78&lt;2005),VLOOKUP(K78,Minimas!$A$11:$G$29,3),VLOOKUP(K78,Minimas!$A$11:$G$29,2))))),IF(OR(H78="SEN",H78&lt;1998),VLOOKUP(K78,Minimas!$G$11:$L$26,6),IF(AND(H78&gt;1997,H78&lt;2001),VLOOKUP(K78,Minimas!$G$11:$L$26,5),IF(AND(H78&gt;2000,H78&lt;2003),VLOOKUP(K78,Minimas!$G$11:$L$26,4),IF(AND(H78&gt;2002,H78&lt;2005),VLOOKUP(K78,Minimas!$G$11:$L$26,3),VLOOKUP(K78,Minimas!$G$11:$L$26,2)))))))</f>
        <v>FS 48</v>
      </c>
      <c r="W78" s="62">
        <f t="shared" si="21"/>
        <v>161.75370164062639</v>
      </c>
      <c r="X78" s="63"/>
      <c r="Y78" s="157" t="s">
        <v>131</v>
      </c>
      <c r="AC78" s="90">
        <f>T78-HLOOKUP(V78,Minimas!$C$1:$BN$10,2,FALSE)</f>
        <v>45</v>
      </c>
      <c r="AD78" s="90">
        <f>T78-HLOOKUP(V78,Minimas!$C$1:$BN$10,3,FALSE)</f>
        <v>35</v>
      </c>
      <c r="AE78" s="90">
        <f>T78-HLOOKUP(V78,Minimas!$C$1:$BN$10,4,FALSE)</f>
        <v>25</v>
      </c>
      <c r="AF78" s="90">
        <f>T78-HLOOKUP(V78,Minimas!$C$1:$BN$10,5,FALSE)</f>
        <v>15</v>
      </c>
      <c r="AG78" s="90">
        <f>T78-HLOOKUP(V78,Minimas!$C$1:$BN$10,6,FALSE)</f>
        <v>0</v>
      </c>
      <c r="AH78" s="90">
        <f>T78-HLOOKUP(V78,Minimas!$C$1:$BN$10,7,FALSE)</f>
        <v>-15</v>
      </c>
      <c r="AI78" s="90">
        <f>T78-HLOOKUP(V78,Minimas!$C$1:$BN$10,8,FALSE)</f>
        <v>-30</v>
      </c>
      <c r="AJ78" s="90">
        <f>T78-HLOOKUP(V78,Minimas!$C$1:$BN$10,9,FALSE)</f>
        <v>-45</v>
      </c>
      <c r="AK78" s="90">
        <f>T78-HLOOKUP(V78,Minimas!$C$1:$BN$10,10,FALSE)</f>
        <v>-60</v>
      </c>
      <c r="AL78" s="91" t="str">
        <f t="shared" si="22"/>
        <v>FED +</v>
      </c>
      <c r="AN78" s="5" t="str">
        <f t="shared" si="23"/>
        <v>FED +</v>
      </c>
      <c r="AO78" s="5">
        <f t="shared" si="24"/>
        <v>0</v>
      </c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</row>
    <row r="79" spans="1:124" s="5" customFormat="1" ht="27.95" customHeight="1" thickBot="1" x14ac:dyDescent="0.25">
      <c r="B79" s="148" t="s">
        <v>138</v>
      </c>
      <c r="C79" s="161">
        <v>430794</v>
      </c>
      <c r="D79" s="92">
        <v>5</v>
      </c>
      <c r="E79" s="84" t="s">
        <v>108</v>
      </c>
      <c r="F79" s="36" t="s">
        <v>180</v>
      </c>
      <c r="G79" s="37" t="s">
        <v>630</v>
      </c>
      <c r="H79" s="92">
        <v>1993</v>
      </c>
      <c r="I79" s="192" t="s">
        <v>541</v>
      </c>
      <c r="J79" s="35" t="s">
        <v>108</v>
      </c>
      <c r="K79" s="103">
        <v>46.8</v>
      </c>
      <c r="L79" s="38">
        <v>43</v>
      </c>
      <c r="M79" s="39">
        <v>-46</v>
      </c>
      <c r="N79" s="39">
        <v>46</v>
      </c>
      <c r="O79" s="54">
        <f t="shared" si="17"/>
        <v>46</v>
      </c>
      <c r="P79" s="53">
        <v>-51</v>
      </c>
      <c r="Q79" s="53">
        <v>54</v>
      </c>
      <c r="R79" s="53">
        <v>-56</v>
      </c>
      <c r="S79" s="54">
        <f t="shared" si="18"/>
        <v>54</v>
      </c>
      <c r="T79" s="55">
        <f t="shared" si="19"/>
        <v>100</v>
      </c>
      <c r="U79" s="56" t="str">
        <f t="shared" si="20"/>
        <v>FED + 0</v>
      </c>
      <c r="V79" s="86" t="str">
        <f>IF(E79=0," ",IF(E79="H",IF(OR(E79="SEN",H79&lt;1998),VLOOKUP(K79,Minimas!$A$11:$G$29,6),IF(AND(H79&gt;1997,H79&lt;2001),VLOOKUP(K79,Minimas!$A$11:$G$29,5),IF(AND(H79&gt;2000,H79&lt;2003),VLOOKUP(K79,Minimas!$A$11:$G$29,4),IF(AND(H79&gt;2002,H79&lt;2005),VLOOKUP(K79,Minimas!$A$11:$G$29,3),VLOOKUP(K79,Minimas!$A$11:$G$29,2))))),IF(OR(H79="SEN",H79&lt;1998),VLOOKUP(K79,Minimas!$G$11:$L$26,6),IF(AND(H79&gt;1997,H79&lt;2001),VLOOKUP(K79,Minimas!$G$11:$L$26,5),IF(AND(H79&gt;2000,H79&lt;2003),VLOOKUP(K79,Minimas!$G$11:$L$26,4),IF(AND(H79&gt;2002,H79&lt;2005),VLOOKUP(K79,Minimas!$G$11:$L$26,3),VLOOKUP(K79,Minimas!$G$11:$L$26,2)))))))</f>
        <v>FS 48</v>
      </c>
      <c r="W79" s="62">
        <f t="shared" si="21"/>
        <v>161.75370164062639</v>
      </c>
      <c r="X79" s="63"/>
      <c r="Y79" s="157" t="s">
        <v>131</v>
      </c>
      <c r="AC79" s="90">
        <f>T79-HLOOKUP(V79,Minimas!$C$1:$BN$10,2,FALSE)</f>
        <v>45</v>
      </c>
      <c r="AD79" s="90">
        <f>T79-HLOOKUP(V79,Minimas!$C$1:$BN$10,3,FALSE)</f>
        <v>35</v>
      </c>
      <c r="AE79" s="90">
        <f>T79-HLOOKUP(V79,Minimas!$C$1:$BN$10,4,FALSE)</f>
        <v>25</v>
      </c>
      <c r="AF79" s="90">
        <f>T79-HLOOKUP(V79,Minimas!$C$1:$BN$10,5,FALSE)</f>
        <v>15</v>
      </c>
      <c r="AG79" s="90">
        <f>T79-HLOOKUP(V79,Minimas!$C$1:$BN$10,6,FALSE)</f>
        <v>0</v>
      </c>
      <c r="AH79" s="90">
        <f>T79-HLOOKUP(V79,Minimas!$C$1:$BN$10,7,FALSE)</f>
        <v>-15</v>
      </c>
      <c r="AI79" s="90">
        <f>T79-HLOOKUP(V79,Minimas!$C$1:$BN$10,8,FALSE)</f>
        <v>-30</v>
      </c>
      <c r="AJ79" s="90">
        <f>T79-HLOOKUP(V79,Minimas!$C$1:$BN$10,9,FALSE)</f>
        <v>-45</v>
      </c>
      <c r="AK79" s="90">
        <f>T79-HLOOKUP(V79,Minimas!$C$1:$BN$10,10,FALSE)</f>
        <v>-60</v>
      </c>
      <c r="AL79" s="91" t="str">
        <f t="shared" si="22"/>
        <v>FED +</v>
      </c>
      <c r="AN79" s="5" t="str">
        <f t="shared" si="23"/>
        <v>FED +</v>
      </c>
      <c r="AO79" s="5">
        <f t="shared" si="24"/>
        <v>0</v>
      </c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</row>
    <row r="80" spans="1:124" s="11" customFormat="1" ht="5.0999999999999996" customHeight="1" thickBot="1" x14ac:dyDescent="0.25">
      <c r="A80" s="8"/>
      <c r="B80" s="147"/>
      <c r="C80" s="160"/>
      <c r="D80" s="41"/>
      <c r="E80" s="41"/>
      <c r="F80" s="42"/>
      <c r="G80" s="43"/>
      <c r="H80" s="44"/>
      <c r="I80" s="193"/>
      <c r="J80" s="40"/>
      <c r="K80" s="101"/>
      <c r="L80" s="45"/>
      <c r="M80" s="45"/>
      <c r="N80" s="45"/>
      <c r="O80" s="46"/>
      <c r="P80" s="45"/>
      <c r="Q80" s="45"/>
      <c r="R80" s="45"/>
      <c r="S80" s="46"/>
      <c r="T80" s="46"/>
      <c r="U80" s="41"/>
      <c r="V80" s="48"/>
      <c r="W80" s="47"/>
      <c r="X80" s="7"/>
      <c r="Y80" s="154"/>
      <c r="Z80" s="7"/>
      <c r="AA80" s="7"/>
      <c r="AB80" s="7"/>
      <c r="AC80" s="89" t="s">
        <v>60</v>
      </c>
      <c r="AD80" s="89" t="s">
        <v>61</v>
      </c>
      <c r="AE80" s="89" t="s">
        <v>62</v>
      </c>
      <c r="AF80" s="89" t="s">
        <v>63</v>
      </c>
      <c r="AG80" s="89" t="s">
        <v>64</v>
      </c>
      <c r="AH80" s="89" t="s">
        <v>65</v>
      </c>
      <c r="AI80" s="89" t="s">
        <v>66</v>
      </c>
      <c r="AJ80" s="89" t="s">
        <v>67</v>
      </c>
      <c r="AK80" s="89" t="s">
        <v>68</v>
      </c>
      <c r="AL80" s="89"/>
      <c r="AM80" s="7"/>
      <c r="AN80" s="7"/>
      <c r="AO80" s="7"/>
      <c r="AP80" s="7"/>
      <c r="AQ80" s="7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2:77" s="5" customFormat="1" ht="27.95" customHeight="1" x14ac:dyDescent="0.2">
      <c r="B81" s="148" t="s">
        <v>314</v>
      </c>
      <c r="C81" s="161">
        <v>433054</v>
      </c>
      <c r="D81" s="92">
        <v>1</v>
      </c>
      <c r="E81" s="84" t="s">
        <v>108</v>
      </c>
      <c r="F81" s="36" t="s">
        <v>341</v>
      </c>
      <c r="G81" s="37" t="s">
        <v>631</v>
      </c>
      <c r="H81" s="92">
        <v>1983</v>
      </c>
      <c r="I81" s="192" t="s">
        <v>606</v>
      </c>
      <c r="J81" s="35" t="s">
        <v>108</v>
      </c>
      <c r="K81" s="103">
        <v>53</v>
      </c>
      <c r="L81" s="38">
        <v>-53</v>
      </c>
      <c r="M81" s="39">
        <v>-53</v>
      </c>
      <c r="N81" s="39">
        <v>53</v>
      </c>
      <c r="O81" s="54">
        <f t="shared" ref="O81:O97" si="132">IF(E81="","",IF(MAXA(L81:N81)&lt;=0,0,MAXA(L81:N81)))</f>
        <v>53</v>
      </c>
      <c r="P81" s="53">
        <v>70</v>
      </c>
      <c r="Q81" s="53">
        <v>74</v>
      </c>
      <c r="R81" s="53">
        <v>-77</v>
      </c>
      <c r="S81" s="54">
        <f t="shared" ref="S81:S97" si="133">IF(E81="","",IF(MAXA(P81:R81)&lt;=0,0,MAXA(P81:R81)))</f>
        <v>74</v>
      </c>
      <c r="T81" s="55">
        <f t="shared" ref="T81:T97" si="134">IF(E81="","",IF(OR(O81=0,S81=0),0,O81+S81))</f>
        <v>127</v>
      </c>
      <c r="U81" s="56" t="str">
        <f t="shared" ref="U81:U97" si="135">+CONCATENATE(AN81," ",AO81)</f>
        <v>FED + 12</v>
      </c>
      <c r="V81" s="86" t="str">
        <f>IF(E81=0," ",IF(E81="H",IF(OR(E81="SEN",H81&lt;1998),VLOOKUP(K81,Minimas!$A$11:$G$29,6),IF(AND(H81&gt;1997,H81&lt;2001),VLOOKUP(K81,Minimas!$A$11:$G$29,5),IF(AND(H81&gt;2000,H81&lt;2003),VLOOKUP(K81,Minimas!$A$11:$G$29,4),IF(AND(H81&gt;2002,H81&lt;2005),VLOOKUP(K81,Minimas!$A$11:$G$29,3),VLOOKUP(K81,Minimas!$A$11:$G$29,2))))),IF(OR(H81="SEN",H81&lt;1998),VLOOKUP(K81,Minimas!$G$11:$L$26,6),IF(AND(H81&gt;1997,H81&lt;2001),VLOOKUP(K81,Minimas!$G$11:$L$26,5),IF(AND(H81&gt;2000,H81&lt;2003),VLOOKUP(K81,Minimas!$G$11:$L$26,4),IF(AND(H81&gt;2002,H81&lt;2005),VLOOKUP(K81,Minimas!$G$11:$L$26,3),VLOOKUP(K81,Minimas!$G$11:$L$26,2)))))))</f>
        <v>FS 53</v>
      </c>
      <c r="W81" s="62">
        <f t="shared" ref="W81:W97" si="136">IF(E81=" "," ",IF(E81="H",10^(0.75194503*LOG(K81/175.508)^2)*T81,IF(E81="F",10^(0.783497476* LOG(K81/153.655)^2)*T81,"")))</f>
        <v>186.73798988923136</v>
      </c>
      <c r="X81" s="63"/>
      <c r="Y81" s="156" t="s">
        <v>319</v>
      </c>
      <c r="AC81" s="90">
        <f>T81-HLOOKUP(V81,Minimas!$C$1:$BN$10,2,FALSE)</f>
        <v>62</v>
      </c>
      <c r="AD81" s="90">
        <f>T81-HLOOKUP(V81,Minimas!$C$1:$BN$10,3,FALSE)</f>
        <v>52</v>
      </c>
      <c r="AE81" s="90">
        <f>T81-HLOOKUP(V81,Minimas!$C$1:$BN$10,4,FALSE)</f>
        <v>42</v>
      </c>
      <c r="AF81" s="90">
        <f>T81-HLOOKUP(V81,Minimas!$C$1:$BN$10,5,FALSE)</f>
        <v>27</v>
      </c>
      <c r="AG81" s="90">
        <f>T81-HLOOKUP(V81,Minimas!$C$1:$BN$10,6,FALSE)</f>
        <v>12</v>
      </c>
      <c r="AH81" s="90">
        <f>T81-HLOOKUP(V81,Minimas!$C$1:$BN$10,7,FALSE)</f>
        <v>-3</v>
      </c>
      <c r="AI81" s="90">
        <f>T81-HLOOKUP(V81,Minimas!$C$1:$BN$10,8,FALSE)</f>
        <v>-23</v>
      </c>
      <c r="AJ81" s="90">
        <f>T81-HLOOKUP(V81,Minimas!$C$1:$BN$10,9,FALSE)</f>
        <v>-38</v>
      </c>
      <c r="AK81" s="90">
        <f>T81-HLOOKUP(V81,Minimas!$C$1:$BN$10,10,FALSE)</f>
        <v>-53</v>
      </c>
      <c r="AL81" s="91" t="str">
        <f t="shared" ref="AL81:AL97" si="137">IF(E81=0," ",IF(AK81&gt;=0,$AK$7,IF(AJ81&gt;=0,$AJ$7,IF(AI81&gt;=0,$AI$7,IF(AH81&gt;=0,$AH$7,IF(AG81&gt;=0,$AG$7,IF(AF81&gt;=0,$AF$7,IF(AE81&gt;=0,$AE$7,IF(AD81&gt;=0,$AD$7,$AC$7)))))))))</f>
        <v>FED +</v>
      </c>
      <c r="AN81" s="5" t="str">
        <f t="shared" ref="AN81:AN97" si="138">IF(AL81="","",AL81)</f>
        <v>FED +</v>
      </c>
      <c r="AO81" s="5">
        <f t="shared" ref="AO81:AO97" si="139">IF(E81=0," ",IF(AK81&gt;=0,AK81,IF(AJ81&gt;=0,AJ81,IF(AI81&gt;=0,AI81,IF(AH81&gt;=0,AH81,IF(AG81&gt;=0,AG81,IF(AF81&gt;=0,AF81,IF(AE81&gt;=0,AE81,IF(AD81&gt;=0,AD81,AC81)))))))))</f>
        <v>12</v>
      </c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</row>
    <row r="82" spans="2:77" s="5" customFormat="1" ht="27.95" customHeight="1" x14ac:dyDescent="0.2">
      <c r="B82" s="148" t="s">
        <v>314</v>
      </c>
      <c r="C82" s="161">
        <v>399913</v>
      </c>
      <c r="D82" s="92">
        <v>2</v>
      </c>
      <c r="E82" s="84" t="s">
        <v>108</v>
      </c>
      <c r="F82" s="36" t="s">
        <v>146</v>
      </c>
      <c r="G82" s="37" t="s">
        <v>185</v>
      </c>
      <c r="H82" s="92">
        <v>1988</v>
      </c>
      <c r="I82" s="192" t="s">
        <v>557</v>
      </c>
      <c r="J82" s="35" t="s">
        <v>108</v>
      </c>
      <c r="K82" s="103">
        <v>52.9</v>
      </c>
      <c r="L82" s="38">
        <v>56</v>
      </c>
      <c r="M82" s="39">
        <v>58</v>
      </c>
      <c r="N82" s="39">
        <v>-60</v>
      </c>
      <c r="O82" s="54">
        <f t="shared" si="132"/>
        <v>58</v>
      </c>
      <c r="P82" s="53">
        <v>69</v>
      </c>
      <c r="Q82" s="53">
        <v>-72</v>
      </c>
      <c r="R82" s="53">
        <v>-72</v>
      </c>
      <c r="S82" s="54">
        <f t="shared" si="133"/>
        <v>69</v>
      </c>
      <c r="T82" s="55">
        <f t="shared" si="134"/>
        <v>127</v>
      </c>
      <c r="U82" s="56" t="str">
        <f t="shared" si="135"/>
        <v>FED + 12</v>
      </c>
      <c r="V82" s="86" t="str">
        <f>IF(E82=0," ",IF(E82="H",IF(OR(E82="SEN",H82&lt;1998),VLOOKUP(K82,Minimas!$A$11:$G$29,6),IF(AND(H82&gt;1997,H82&lt;2001),VLOOKUP(K82,Minimas!$A$11:$G$29,5),IF(AND(H82&gt;2000,H82&lt;2003),VLOOKUP(K82,Minimas!$A$11:$G$29,4),IF(AND(H82&gt;2002,H82&lt;2005),VLOOKUP(K82,Minimas!$A$11:$G$29,3),VLOOKUP(K82,Minimas!$A$11:$G$29,2))))),IF(OR(H82="SEN",H82&lt;1998),VLOOKUP(K82,Minimas!$G$11:$L$26,6),IF(AND(H82&gt;1997,H82&lt;2001),VLOOKUP(K82,Minimas!$G$11:$L$26,5),IF(AND(H82&gt;2000,H82&lt;2003),VLOOKUP(K82,Minimas!$G$11:$L$26,4),IF(AND(H82&gt;2002,H82&lt;2005),VLOOKUP(K82,Minimas!$G$11:$L$26,3),VLOOKUP(K82,Minimas!$G$11:$L$26,2)))))))</f>
        <v>FS 53</v>
      </c>
      <c r="W82" s="62">
        <f t="shared" si="136"/>
        <v>186.99385637310655</v>
      </c>
      <c r="X82" s="63"/>
      <c r="Y82" s="155" t="s">
        <v>441</v>
      </c>
      <c r="AC82" s="90">
        <f>T82-HLOOKUP(V82,Minimas!$C$1:$BN$10,2,FALSE)</f>
        <v>62</v>
      </c>
      <c r="AD82" s="90">
        <f>T82-HLOOKUP(V82,Minimas!$C$1:$BN$10,3,FALSE)</f>
        <v>52</v>
      </c>
      <c r="AE82" s="90">
        <f>T82-HLOOKUP(V82,Minimas!$C$1:$BN$10,4,FALSE)</f>
        <v>42</v>
      </c>
      <c r="AF82" s="90">
        <f>T82-HLOOKUP(V82,Minimas!$C$1:$BN$10,5,FALSE)</f>
        <v>27</v>
      </c>
      <c r="AG82" s="90">
        <f>T82-HLOOKUP(V82,Minimas!$C$1:$BN$10,6,FALSE)</f>
        <v>12</v>
      </c>
      <c r="AH82" s="90">
        <f>T82-HLOOKUP(V82,Minimas!$C$1:$BN$10,7,FALSE)</f>
        <v>-3</v>
      </c>
      <c r="AI82" s="90">
        <f>T82-HLOOKUP(V82,Minimas!$C$1:$BN$10,8,FALSE)</f>
        <v>-23</v>
      </c>
      <c r="AJ82" s="90">
        <f>T82-HLOOKUP(V82,Minimas!$C$1:$BN$10,9,FALSE)</f>
        <v>-38</v>
      </c>
      <c r="AK82" s="90">
        <f>T82-HLOOKUP(V82,Minimas!$C$1:$BN$10,10,FALSE)</f>
        <v>-53</v>
      </c>
      <c r="AL82" s="91" t="str">
        <f t="shared" si="137"/>
        <v>FED +</v>
      </c>
      <c r="AN82" s="5" t="str">
        <f t="shared" si="138"/>
        <v>FED +</v>
      </c>
      <c r="AO82" s="5">
        <f t="shared" si="139"/>
        <v>12</v>
      </c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/>
      <c r="BX82" s="97"/>
      <c r="BY82" s="97"/>
    </row>
    <row r="83" spans="2:77" s="5" customFormat="1" ht="27.95" customHeight="1" x14ac:dyDescent="0.2">
      <c r="B83" s="148" t="s">
        <v>134</v>
      </c>
      <c r="C83" s="161">
        <v>429454</v>
      </c>
      <c r="D83" s="92">
        <v>3</v>
      </c>
      <c r="E83" s="84" t="s">
        <v>108</v>
      </c>
      <c r="F83" s="36" t="s">
        <v>457</v>
      </c>
      <c r="G83" s="37" t="s">
        <v>632</v>
      </c>
      <c r="H83" s="92">
        <v>1992</v>
      </c>
      <c r="I83" s="192" t="s">
        <v>607</v>
      </c>
      <c r="J83" s="35" t="s">
        <v>108</v>
      </c>
      <c r="K83" s="103">
        <v>53</v>
      </c>
      <c r="L83" s="38">
        <v>53</v>
      </c>
      <c r="M83" s="39">
        <v>57</v>
      </c>
      <c r="N83" s="39">
        <v>-60</v>
      </c>
      <c r="O83" s="54">
        <f t="shared" si="132"/>
        <v>57</v>
      </c>
      <c r="P83" s="53">
        <v>60</v>
      </c>
      <c r="Q83" s="53">
        <v>65</v>
      </c>
      <c r="R83" s="53">
        <v>70</v>
      </c>
      <c r="S83" s="54">
        <f t="shared" si="133"/>
        <v>70</v>
      </c>
      <c r="T83" s="55">
        <f t="shared" si="134"/>
        <v>127</v>
      </c>
      <c r="U83" s="56" t="str">
        <f t="shared" si="135"/>
        <v>FED + 12</v>
      </c>
      <c r="V83" s="86" t="str">
        <f>IF(E83=0," ",IF(E83="H",IF(OR(E83="SEN",H83&lt;1998),VLOOKUP(K83,Minimas!$A$11:$G$29,6),IF(AND(H83&gt;1997,H83&lt;2001),VLOOKUP(K83,Minimas!$A$11:$G$29,5),IF(AND(H83&gt;2000,H83&lt;2003),VLOOKUP(K83,Minimas!$A$11:$G$29,4),IF(AND(H83&gt;2002,H83&lt;2005),VLOOKUP(K83,Minimas!$A$11:$G$29,3),VLOOKUP(K83,Minimas!$A$11:$G$29,2))))),IF(OR(H83="SEN",H83&lt;1998),VLOOKUP(K83,Minimas!$G$11:$L$26,6),IF(AND(H83&gt;1997,H83&lt;2001),VLOOKUP(K83,Minimas!$G$11:$L$26,5),IF(AND(H83&gt;2000,H83&lt;2003),VLOOKUP(K83,Minimas!$G$11:$L$26,4),IF(AND(H83&gt;2002,H83&lt;2005),VLOOKUP(K83,Minimas!$G$11:$L$26,3),VLOOKUP(K83,Minimas!$G$11:$L$26,2)))))))</f>
        <v>FS 53</v>
      </c>
      <c r="W83" s="62">
        <f t="shared" si="136"/>
        <v>186.73798988923136</v>
      </c>
      <c r="X83" s="63"/>
      <c r="Y83" s="155" t="s">
        <v>441</v>
      </c>
      <c r="AC83" s="90">
        <f>T83-HLOOKUP(V83,Minimas!$C$1:$BN$10,2,FALSE)</f>
        <v>62</v>
      </c>
      <c r="AD83" s="90">
        <f>T83-HLOOKUP(V83,Minimas!$C$1:$BN$10,3,FALSE)</f>
        <v>52</v>
      </c>
      <c r="AE83" s="90">
        <f>T83-HLOOKUP(V83,Minimas!$C$1:$BN$10,4,FALSE)</f>
        <v>42</v>
      </c>
      <c r="AF83" s="90">
        <f>T83-HLOOKUP(V83,Minimas!$C$1:$BN$10,5,FALSE)</f>
        <v>27</v>
      </c>
      <c r="AG83" s="90">
        <f>T83-HLOOKUP(V83,Minimas!$C$1:$BN$10,6,FALSE)</f>
        <v>12</v>
      </c>
      <c r="AH83" s="90">
        <f>T83-HLOOKUP(V83,Minimas!$C$1:$BN$10,7,FALSE)</f>
        <v>-3</v>
      </c>
      <c r="AI83" s="90">
        <f>T83-HLOOKUP(V83,Minimas!$C$1:$BN$10,8,FALSE)</f>
        <v>-23</v>
      </c>
      <c r="AJ83" s="90">
        <f>T83-HLOOKUP(V83,Minimas!$C$1:$BN$10,9,FALSE)</f>
        <v>-38</v>
      </c>
      <c r="AK83" s="90">
        <f>T83-HLOOKUP(V83,Minimas!$C$1:$BN$10,10,FALSE)</f>
        <v>-53</v>
      </c>
      <c r="AL83" s="91" t="str">
        <f t="shared" si="137"/>
        <v>FED +</v>
      </c>
      <c r="AN83" s="5" t="str">
        <f t="shared" si="138"/>
        <v>FED +</v>
      </c>
      <c r="AO83" s="5">
        <f t="shared" si="139"/>
        <v>12</v>
      </c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</row>
    <row r="84" spans="2:77" s="5" customFormat="1" ht="27.95" customHeight="1" x14ac:dyDescent="0.2">
      <c r="B84" s="148" t="s">
        <v>121</v>
      </c>
      <c r="C84" s="161">
        <v>435579</v>
      </c>
      <c r="D84" s="92">
        <v>4</v>
      </c>
      <c r="E84" s="84" t="s">
        <v>108</v>
      </c>
      <c r="F84" s="36" t="s">
        <v>431</v>
      </c>
      <c r="G84" s="37" t="s">
        <v>181</v>
      </c>
      <c r="H84" s="92">
        <v>1988</v>
      </c>
      <c r="I84" s="192" t="s">
        <v>545</v>
      </c>
      <c r="J84" s="35" t="s">
        <v>108</v>
      </c>
      <c r="K84" s="103">
        <v>51.05</v>
      </c>
      <c r="L84" s="38">
        <v>50</v>
      </c>
      <c r="M84" s="39">
        <v>52</v>
      </c>
      <c r="N84" s="39">
        <v>54</v>
      </c>
      <c r="O84" s="54">
        <f t="shared" si="132"/>
        <v>54</v>
      </c>
      <c r="P84" s="53">
        <v>65</v>
      </c>
      <c r="Q84" s="53">
        <v>68</v>
      </c>
      <c r="R84" s="53">
        <v>71</v>
      </c>
      <c r="S84" s="54">
        <f t="shared" si="133"/>
        <v>71</v>
      </c>
      <c r="T84" s="55">
        <f t="shared" si="134"/>
        <v>125</v>
      </c>
      <c r="U84" s="56" t="str">
        <f t="shared" si="135"/>
        <v>FED + 10</v>
      </c>
      <c r="V84" s="86" t="str">
        <f>IF(E84=0," ",IF(E84="H",IF(OR(E84="SEN",H84&lt;1998),VLOOKUP(K84,Minimas!$A$11:$G$29,6),IF(AND(H84&gt;1997,H84&lt;2001),VLOOKUP(K84,Minimas!$A$11:$G$29,5),IF(AND(H84&gt;2000,H84&lt;2003),VLOOKUP(K84,Minimas!$A$11:$G$29,4),IF(AND(H84&gt;2002,H84&lt;2005),VLOOKUP(K84,Minimas!$A$11:$G$29,3),VLOOKUP(K84,Minimas!$A$11:$G$29,2))))),IF(OR(H84="SEN",H84&lt;1998),VLOOKUP(K84,Minimas!$G$11:$L$26,6),IF(AND(H84&gt;1997,H84&lt;2001),VLOOKUP(K84,Minimas!$G$11:$L$26,5),IF(AND(H84&gt;2000,H84&lt;2003),VLOOKUP(K84,Minimas!$G$11:$L$26,4),IF(AND(H84&gt;2002,H84&lt;2005),VLOOKUP(K84,Minimas!$G$11:$L$26,3),VLOOKUP(K84,Minimas!$G$11:$L$26,2)))))))</f>
        <v>FS 53</v>
      </c>
      <c r="W84" s="62">
        <f t="shared" si="136"/>
        <v>188.946809559781</v>
      </c>
      <c r="X84" s="63"/>
      <c r="Y84" s="157" t="s">
        <v>131</v>
      </c>
      <c r="AC84" s="90">
        <f>T84-HLOOKUP(V84,Minimas!$C$1:$BN$10,2,FALSE)</f>
        <v>60</v>
      </c>
      <c r="AD84" s="90">
        <f>T84-HLOOKUP(V84,Minimas!$C$1:$BN$10,3,FALSE)</f>
        <v>50</v>
      </c>
      <c r="AE84" s="90">
        <f>T84-HLOOKUP(V84,Minimas!$C$1:$BN$10,4,FALSE)</f>
        <v>40</v>
      </c>
      <c r="AF84" s="90">
        <f>T84-HLOOKUP(V84,Minimas!$C$1:$BN$10,5,FALSE)</f>
        <v>25</v>
      </c>
      <c r="AG84" s="90">
        <f>T84-HLOOKUP(V84,Minimas!$C$1:$BN$10,6,FALSE)</f>
        <v>10</v>
      </c>
      <c r="AH84" s="90">
        <f>T84-HLOOKUP(V84,Minimas!$C$1:$BN$10,7,FALSE)</f>
        <v>-5</v>
      </c>
      <c r="AI84" s="90">
        <f>T84-HLOOKUP(V84,Minimas!$C$1:$BN$10,8,FALSE)</f>
        <v>-25</v>
      </c>
      <c r="AJ84" s="90">
        <f>T84-HLOOKUP(V84,Minimas!$C$1:$BN$10,9,FALSE)</f>
        <v>-40</v>
      </c>
      <c r="AK84" s="90">
        <f>T84-HLOOKUP(V84,Minimas!$C$1:$BN$10,10,FALSE)</f>
        <v>-55</v>
      </c>
      <c r="AL84" s="91" t="str">
        <f t="shared" si="137"/>
        <v>FED +</v>
      </c>
      <c r="AN84" s="5" t="str">
        <f t="shared" si="138"/>
        <v>FED +</v>
      </c>
      <c r="AO84" s="5">
        <f t="shared" si="139"/>
        <v>10</v>
      </c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</row>
    <row r="85" spans="2:77" s="5" customFormat="1" ht="27.95" customHeight="1" x14ac:dyDescent="0.2">
      <c r="B85" s="148" t="s">
        <v>124</v>
      </c>
      <c r="C85" s="161">
        <v>379905</v>
      </c>
      <c r="D85" s="92">
        <v>5</v>
      </c>
      <c r="E85" s="84" t="s">
        <v>108</v>
      </c>
      <c r="F85" s="36" t="s">
        <v>227</v>
      </c>
      <c r="G85" s="37" t="s">
        <v>633</v>
      </c>
      <c r="H85" s="92">
        <v>1996</v>
      </c>
      <c r="I85" s="192" t="s">
        <v>608</v>
      </c>
      <c r="J85" s="35" t="s">
        <v>108</v>
      </c>
      <c r="K85" s="103">
        <v>50.1</v>
      </c>
      <c r="L85" s="38">
        <v>49</v>
      </c>
      <c r="M85" s="39">
        <v>52</v>
      </c>
      <c r="N85" s="39">
        <v>54</v>
      </c>
      <c r="O85" s="54">
        <f t="shared" si="132"/>
        <v>54</v>
      </c>
      <c r="P85" s="53">
        <v>65</v>
      </c>
      <c r="Q85" s="53">
        <v>69</v>
      </c>
      <c r="R85" s="53">
        <v>71</v>
      </c>
      <c r="S85" s="54">
        <f t="shared" si="133"/>
        <v>71</v>
      </c>
      <c r="T85" s="55">
        <f t="shared" si="134"/>
        <v>125</v>
      </c>
      <c r="U85" s="56" t="str">
        <f t="shared" si="135"/>
        <v>FED + 10</v>
      </c>
      <c r="V85" s="86" t="str">
        <f>IF(E85=0," ",IF(E85="H",IF(OR(E85="SEN",H85&lt;1998),VLOOKUP(K85,Minimas!$A$11:$G$29,6),IF(AND(H85&gt;1997,H85&lt;2001),VLOOKUP(K85,Minimas!$A$11:$G$29,5),IF(AND(H85&gt;2000,H85&lt;2003),VLOOKUP(K85,Minimas!$A$11:$G$29,4),IF(AND(H85&gt;2002,H85&lt;2005),VLOOKUP(K85,Minimas!$A$11:$G$29,3),VLOOKUP(K85,Minimas!$A$11:$G$29,2))))),IF(OR(H85="SEN",H85&lt;1998),VLOOKUP(K85,Minimas!$G$11:$L$26,6),IF(AND(H85&gt;1997,H85&lt;2001),VLOOKUP(K85,Minimas!$G$11:$L$26,5),IF(AND(H85&gt;2000,H85&lt;2003),VLOOKUP(K85,Minimas!$G$11:$L$26,4),IF(AND(H85&gt;2002,H85&lt;2005),VLOOKUP(K85,Minimas!$G$11:$L$26,3),VLOOKUP(K85,Minimas!$G$11:$L$26,2)))))))</f>
        <v>FS 53</v>
      </c>
      <c r="W85" s="62">
        <f t="shared" si="136"/>
        <v>191.6502103960039</v>
      </c>
      <c r="X85" s="63"/>
      <c r="Y85" s="155" t="s">
        <v>441</v>
      </c>
      <c r="AC85" s="90">
        <f>T85-HLOOKUP(V85,Minimas!$C$1:$BN$10,2,FALSE)</f>
        <v>60</v>
      </c>
      <c r="AD85" s="90">
        <f>T85-HLOOKUP(V85,Minimas!$C$1:$BN$10,3,FALSE)</f>
        <v>50</v>
      </c>
      <c r="AE85" s="90">
        <f>T85-HLOOKUP(V85,Minimas!$C$1:$BN$10,4,FALSE)</f>
        <v>40</v>
      </c>
      <c r="AF85" s="90">
        <f>T85-HLOOKUP(V85,Minimas!$C$1:$BN$10,5,FALSE)</f>
        <v>25</v>
      </c>
      <c r="AG85" s="90">
        <f>T85-HLOOKUP(V85,Minimas!$C$1:$BN$10,6,FALSE)</f>
        <v>10</v>
      </c>
      <c r="AH85" s="90">
        <f>T85-HLOOKUP(V85,Minimas!$C$1:$BN$10,7,FALSE)</f>
        <v>-5</v>
      </c>
      <c r="AI85" s="90">
        <f>T85-HLOOKUP(V85,Minimas!$C$1:$BN$10,8,FALSE)</f>
        <v>-25</v>
      </c>
      <c r="AJ85" s="90">
        <f>T85-HLOOKUP(V85,Minimas!$C$1:$BN$10,9,FALSE)</f>
        <v>-40</v>
      </c>
      <c r="AK85" s="90">
        <f>T85-HLOOKUP(V85,Minimas!$C$1:$BN$10,10,FALSE)</f>
        <v>-55</v>
      </c>
      <c r="AL85" s="91" t="str">
        <f t="shared" si="137"/>
        <v>FED +</v>
      </c>
      <c r="AN85" s="5" t="str">
        <f t="shared" si="138"/>
        <v>FED +</v>
      </c>
      <c r="AO85" s="5">
        <f t="shared" si="139"/>
        <v>10</v>
      </c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</row>
    <row r="86" spans="2:77" s="5" customFormat="1" ht="27.95" customHeight="1" x14ac:dyDescent="0.2">
      <c r="B86" s="148" t="s">
        <v>121</v>
      </c>
      <c r="C86" s="161">
        <v>326048</v>
      </c>
      <c r="D86" s="92">
        <v>7</v>
      </c>
      <c r="E86" s="84" t="s">
        <v>108</v>
      </c>
      <c r="F86" s="36" t="s">
        <v>693</v>
      </c>
      <c r="G86" s="37" t="s">
        <v>694</v>
      </c>
      <c r="H86" s="92">
        <v>1994</v>
      </c>
      <c r="I86" s="192" t="s">
        <v>556</v>
      </c>
      <c r="J86" s="35" t="s">
        <v>108</v>
      </c>
      <c r="K86" s="103">
        <v>52.7</v>
      </c>
      <c r="L86" s="38">
        <v>50</v>
      </c>
      <c r="M86" s="39">
        <v>53</v>
      </c>
      <c r="N86" s="39">
        <v>55</v>
      </c>
      <c r="O86" s="54">
        <f>IF(E86="","",IF(MAXA(L86:N86)&lt;=0,0,MAXA(L86:N86)))</f>
        <v>55</v>
      </c>
      <c r="P86" s="53">
        <v>60</v>
      </c>
      <c r="Q86" s="53">
        <v>-69</v>
      </c>
      <c r="R86" s="53">
        <v>69</v>
      </c>
      <c r="S86" s="54">
        <f>IF(E86="","",IF(MAXA(P86:R86)&lt;=0,0,MAXA(P86:R86)))</f>
        <v>69</v>
      </c>
      <c r="T86" s="55">
        <f>IF(E86="","",IF(OR(O86=0,S86=0),0,O86+S86))</f>
        <v>124</v>
      </c>
      <c r="U86" s="56" t="str">
        <f>+CONCATENATE(AN86," ",AO86)</f>
        <v>FED + 9</v>
      </c>
      <c r="V86" s="86" t="str">
        <f>IF(E86=0," ",IF(E86="H",IF(OR(E86="SEN",H86&lt;1998),VLOOKUP(K86,Minimas!$A$11:$G$29,6),IF(AND(H86&gt;1997,H86&lt;2001),VLOOKUP(K86,Minimas!$A$11:$G$29,5),IF(AND(H86&gt;2000,H86&lt;2003),VLOOKUP(K86,Minimas!$A$11:$G$29,4),IF(AND(H86&gt;2002,H86&lt;2005),VLOOKUP(K86,Minimas!$A$11:$G$29,3),VLOOKUP(K86,Minimas!$A$11:$G$29,2))))),IF(OR(H86="SEN",H86&lt;1998),VLOOKUP(K86,Minimas!$G$11:$L$26,6),IF(AND(H86&gt;1997,H86&lt;2001),VLOOKUP(K86,Minimas!$G$11:$L$26,5),IF(AND(H86&gt;2000,H86&lt;2003),VLOOKUP(K86,Minimas!$G$11:$L$26,4),IF(AND(H86&gt;2002,H86&lt;2005),VLOOKUP(K86,Minimas!$G$11:$L$26,3),VLOOKUP(K86,Minimas!$G$11:$L$26,2)))))))</f>
        <v>FS 53</v>
      </c>
      <c r="W86" s="62">
        <f>IF(E86=" "," ",IF(E86="H",10^(0.75194503*LOG(K86/175.508)^2)*T86,IF(E86="F",10^(0.783497476* LOG(K86/153.655)^2)*T86,"")))</f>
        <v>183.08011507985674</v>
      </c>
      <c r="X86" s="63"/>
      <c r="Y86" s="157" t="s">
        <v>131</v>
      </c>
      <c r="AC86" s="90">
        <f>T86-HLOOKUP(V86,Minimas!$C$1:$BN$10,2,FALSE)</f>
        <v>59</v>
      </c>
      <c r="AD86" s="90">
        <f>T86-HLOOKUP(V86,Minimas!$C$1:$BN$10,3,FALSE)</f>
        <v>49</v>
      </c>
      <c r="AE86" s="90">
        <f>T86-HLOOKUP(V86,Minimas!$C$1:$BN$10,4,FALSE)</f>
        <v>39</v>
      </c>
      <c r="AF86" s="90">
        <f>T86-HLOOKUP(V86,Minimas!$C$1:$BN$10,5,FALSE)</f>
        <v>24</v>
      </c>
      <c r="AG86" s="90">
        <f>T86-HLOOKUP(V86,Minimas!$C$1:$BN$10,6,FALSE)</f>
        <v>9</v>
      </c>
      <c r="AH86" s="90">
        <f>T86-HLOOKUP(V86,Minimas!$C$1:$BN$10,7,FALSE)</f>
        <v>-6</v>
      </c>
      <c r="AI86" s="90">
        <f>T86-HLOOKUP(V86,Minimas!$C$1:$BN$10,8,FALSE)</f>
        <v>-26</v>
      </c>
      <c r="AJ86" s="90">
        <f>T86-HLOOKUP(V86,Minimas!$C$1:$BN$10,9,FALSE)</f>
        <v>-41</v>
      </c>
      <c r="AK86" s="90">
        <f>T86-HLOOKUP(V86,Minimas!$C$1:$BN$10,10,FALSE)</f>
        <v>-56</v>
      </c>
      <c r="AL86" s="91" t="str">
        <f>IF(E86=0," ",IF(AK86&gt;=0,$AK$7,IF(AJ86&gt;=0,$AJ$7,IF(AI86&gt;=0,$AI$7,IF(AH86&gt;=0,$AH$7,IF(AG86&gt;=0,$AG$7,IF(AF86&gt;=0,$AF$7,IF(AE86&gt;=0,$AE$7,IF(AD86&gt;=0,$AD$7,$AC$7)))))))))</f>
        <v>FED +</v>
      </c>
      <c r="AN86" s="5" t="str">
        <f>IF(AL86="","",AL86)</f>
        <v>FED +</v>
      </c>
      <c r="AO86" s="5">
        <f>IF(E86=0," ",IF(AK86&gt;=0,AK86,IF(AJ86&gt;=0,AJ86,IF(AI86&gt;=0,AI86,IF(AH86&gt;=0,AH86,IF(AG86&gt;=0,AG86,IF(AF86&gt;=0,AF86,IF(AE86&gt;=0,AE86,IF(AD86&gt;=0,AD86,AC86)))))))))</f>
        <v>9</v>
      </c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</row>
    <row r="87" spans="2:77" s="5" customFormat="1" ht="27.95" customHeight="1" x14ac:dyDescent="0.2">
      <c r="B87" s="148" t="s">
        <v>124</v>
      </c>
      <c r="C87" s="161">
        <v>408135</v>
      </c>
      <c r="D87" s="92">
        <v>6</v>
      </c>
      <c r="E87" s="84" t="s">
        <v>108</v>
      </c>
      <c r="F87" s="36" t="s">
        <v>182</v>
      </c>
      <c r="G87" s="37" t="s">
        <v>634</v>
      </c>
      <c r="H87" s="92">
        <v>1972</v>
      </c>
      <c r="I87" s="192" t="s">
        <v>543</v>
      </c>
      <c r="J87" s="35" t="s">
        <v>108</v>
      </c>
      <c r="K87" s="103">
        <v>52.4</v>
      </c>
      <c r="L87" s="38">
        <v>52</v>
      </c>
      <c r="M87" s="39">
        <v>-55</v>
      </c>
      <c r="N87" s="39">
        <v>-55</v>
      </c>
      <c r="O87" s="54">
        <f t="shared" ref="O87" si="140">IF(E87="","",IF(MAXA(L87:N87)&lt;=0,0,MAXA(L87:N87)))</f>
        <v>52</v>
      </c>
      <c r="P87" s="53">
        <v>67</v>
      </c>
      <c r="Q87" s="53">
        <v>-71</v>
      </c>
      <c r="R87" s="53">
        <v>71</v>
      </c>
      <c r="S87" s="54">
        <f t="shared" ref="S87" si="141">IF(E87="","",IF(MAXA(P87:R87)&lt;=0,0,MAXA(P87:R87)))</f>
        <v>71</v>
      </c>
      <c r="T87" s="55">
        <f t="shared" ref="T87" si="142">IF(E87="","",IF(OR(O87=0,S87=0),0,O87+S87))</f>
        <v>123</v>
      </c>
      <c r="U87" s="56" t="str">
        <f t="shared" ref="U87" si="143">+CONCATENATE(AN87," ",AO87)</f>
        <v>FED + 8</v>
      </c>
      <c r="V87" s="86" t="str">
        <f>IF(E87=0," ",IF(E87="H",IF(OR(E87="SEN",H87&lt;1998),VLOOKUP(K87,Minimas!$A$11:$G$29,6),IF(AND(H87&gt;1997,H87&lt;2001),VLOOKUP(K87,Minimas!$A$11:$G$29,5),IF(AND(H87&gt;2000,H87&lt;2003),VLOOKUP(K87,Minimas!$A$11:$G$29,4),IF(AND(H87&gt;2002,H87&lt;2005),VLOOKUP(K87,Minimas!$A$11:$G$29,3),VLOOKUP(K87,Minimas!$A$11:$G$29,2))))),IF(OR(H87="SEN",H87&lt;1998),VLOOKUP(K87,Minimas!$G$11:$L$26,6),IF(AND(H87&gt;1997,H87&lt;2001),VLOOKUP(K87,Minimas!$G$11:$L$26,5),IF(AND(H87&gt;2000,H87&lt;2003),VLOOKUP(K87,Minimas!$G$11:$L$26,4),IF(AND(H87&gt;2002,H87&lt;2005),VLOOKUP(K87,Minimas!$G$11:$L$26,3),VLOOKUP(K87,Minimas!$G$11:$L$26,2)))))))</f>
        <v>FS 53</v>
      </c>
      <c r="W87" s="62">
        <f t="shared" ref="W87" si="144">IF(E87=" "," ",IF(E87="H",10^(0.75194503*LOG(K87/175.508)^2)*T87,IF(E87="F",10^(0.783497476* LOG(K87/153.655)^2)*T87,"")))</f>
        <v>182.36225884016659</v>
      </c>
      <c r="X87" s="63"/>
      <c r="Y87" s="155" t="s">
        <v>441</v>
      </c>
      <c r="AC87" s="90">
        <f>T87-HLOOKUP(V87,Minimas!$C$1:$BN$10,2,FALSE)</f>
        <v>58</v>
      </c>
      <c r="AD87" s="90">
        <f>T87-HLOOKUP(V87,Minimas!$C$1:$BN$10,3,FALSE)</f>
        <v>48</v>
      </c>
      <c r="AE87" s="90">
        <f>T87-HLOOKUP(V87,Minimas!$C$1:$BN$10,4,FALSE)</f>
        <v>38</v>
      </c>
      <c r="AF87" s="90">
        <f>T87-HLOOKUP(V87,Minimas!$C$1:$BN$10,5,FALSE)</f>
        <v>23</v>
      </c>
      <c r="AG87" s="90">
        <f>T87-HLOOKUP(V87,Minimas!$C$1:$BN$10,6,FALSE)</f>
        <v>8</v>
      </c>
      <c r="AH87" s="90">
        <f>T87-HLOOKUP(V87,Minimas!$C$1:$BN$10,7,FALSE)</f>
        <v>-7</v>
      </c>
      <c r="AI87" s="90">
        <f>T87-HLOOKUP(V87,Minimas!$C$1:$BN$10,8,FALSE)</f>
        <v>-27</v>
      </c>
      <c r="AJ87" s="90">
        <f>T87-HLOOKUP(V87,Minimas!$C$1:$BN$10,9,FALSE)</f>
        <v>-42</v>
      </c>
      <c r="AK87" s="90">
        <f>T87-HLOOKUP(V87,Minimas!$C$1:$BN$10,10,FALSE)</f>
        <v>-57</v>
      </c>
      <c r="AL87" s="91" t="str">
        <f t="shared" ref="AL87" si="145">IF(E87=0," ",IF(AK87&gt;=0,$AK$7,IF(AJ87&gt;=0,$AJ$7,IF(AI87&gt;=0,$AI$7,IF(AH87&gt;=0,$AH$7,IF(AG87&gt;=0,$AG$7,IF(AF87&gt;=0,$AF$7,IF(AE87&gt;=0,$AE$7,IF(AD87&gt;=0,$AD$7,$AC$7)))))))))</f>
        <v>FED +</v>
      </c>
      <c r="AN87" s="5" t="str">
        <f t="shared" ref="AN87" si="146">IF(AL87="","",AL87)</f>
        <v>FED +</v>
      </c>
      <c r="AO87" s="5">
        <f t="shared" ref="AO87" si="147">IF(E87=0," ",IF(AK87&gt;=0,AK87,IF(AJ87&gt;=0,AJ87,IF(AI87&gt;=0,AI87,IF(AH87&gt;=0,AH87,IF(AG87&gt;=0,AG87,IF(AF87&gt;=0,AF87,IF(AE87&gt;=0,AE87,IF(AD87&gt;=0,AD87,AC87)))))))))</f>
        <v>8</v>
      </c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</row>
    <row r="88" spans="2:77" s="5" customFormat="1" ht="27.95" customHeight="1" x14ac:dyDescent="0.2">
      <c r="B88" s="148" t="s">
        <v>128</v>
      </c>
      <c r="C88" s="161">
        <v>421944</v>
      </c>
      <c r="D88" s="92">
        <v>8</v>
      </c>
      <c r="E88" s="84" t="s">
        <v>108</v>
      </c>
      <c r="F88" s="36" t="s">
        <v>458</v>
      </c>
      <c r="G88" s="37" t="s">
        <v>209</v>
      </c>
      <c r="H88" s="92">
        <v>1990</v>
      </c>
      <c r="I88" s="192" t="s">
        <v>459</v>
      </c>
      <c r="J88" s="35" t="s">
        <v>108</v>
      </c>
      <c r="K88" s="103">
        <v>52.8</v>
      </c>
      <c r="L88" s="38">
        <v>47</v>
      </c>
      <c r="M88" s="39">
        <v>-50</v>
      </c>
      <c r="N88" s="39">
        <v>50</v>
      </c>
      <c r="O88" s="54">
        <f t="shared" si="132"/>
        <v>50</v>
      </c>
      <c r="P88" s="53">
        <v>60</v>
      </c>
      <c r="Q88" s="53">
        <v>65</v>
      </c>
      <c r="R88" s="53">
        <v>70</v>
      </c>
      <c r="S88" s="54">
        <f t="shared" si="133"/>
        <v>70</v>
      </c>
      <c r="T88" s="55">
        <f t="shared" si="134"/>
        <v>120</v>
      </c>
      <c r="U88" s="56" t="str">
        <f t="shared" si="135"/>
        <v>FED + 5</v>
      </c>
      <c r="V88" s="86" t="str">
        <f>IF(E88=0," ",IF(E88="H",IF(OR(E88="SEN",H88&lt;1998),VLOOKUP(K88,Minimas!$A$11:$G$29,6),IF(AND(H88&gt;1997,H88&lt;2001),VLOOKUP(K88,Minimas!$A$11:$G$29,5),IF(AND(H88&gt;2000,H88&lt;2003),VLOOKUP(K88,Minimas!$A$11:$G$29,4),IF(AND(H88&gt;2002,H88&lt;2005),VLOOKUP(K88,Minimas!$A$11:$G$29,3),VLOOKUP(K88,Minimas!$A$11:$G$29,2))))),IF(OR(H88="SEN",H88&lt;1998),VLOOKUP(K88,Minimas!$G$11:$L$26,6),IF(AND(H88&gt;1997,H88&lt;2001),VLOOKUP(K88,Minimas!$G$11:$L$26,5),IF(AND(H88&gt;2000,H88&lt;2003),VLOOKUP(K88,Minimas!$G$11:$L$26,4),IF(AND(H88&gt;2002,H88&lt;2005),VLOOKUP(K88,Minimas!$G$11:$L$26,3),VLOOKUP(K88,Minimas!$G$11:$L$26,2)))))))</f>
        <v>FS 53</v>
      </c>
      <c r="W88" s="62">
        <f t="shared" si="136"/>
        <v>176.93009232502061</v>
      </c>
      <c r="X88" s="63"/>
      <c r="Y88" s="155" t="s">
        <v>441</v>
      </c>
      <c r="AC88" s="90">
        <f>T88-HLOOKUP(V88,Minimas!$C$1:$BN$10,2,FALSE)</f>
        <v>55</v>
      </c>
      <c r="AD88" s="90">
        <f>T88-HLOOKUP(V88,Minimas!$C$1:$BN$10,3,FALSE)</f>
        <v>45</v>
      </c>
      <c r="AE88" s="90">
        <f>T88-HLOOKUP(V88,Minimas!$C$1:$BN$10,4,FALSE)</f>
        <v>35</v>
      </c>
      <c r="AF88" s="90">
        <f>T88-HLOOKUP(V88,Minimas!$C$1:$BN$10,5,FALSE)</f>
        <v>20</v>
      </c>
      <c r="AG88" s="90">
        <f>T88-HLOOKUP(V88,Minimas!$C$1:$BN$10,6,FALSE)</f>
        <v>5</v>
      </c>
      <c r="AH88" s="90">
        <f>T88-HLOOKUP(V88,Minimas!$C$1:$BN$10,7,FALSE)</f>
        <v>-10</v>
      </c>
      <c r="AI88" s="90">
        <f>T88-HLOOKUP(V88,Minimas!$C$1:$BN$10,8,FALSE)</f>
        <v>-30</v>
      </c>
      <c r="AJ88" s="90">
        <f>T88-HLOOKUP(V88,Minimas!$C$1:$BN$10,9,FALSE)</f>
        <v>-45</v>
      </c>
      <c r="AK88" s="90">
        <f>T88-HLOOKUP(V88,Minimas!$C$1:$BN$10,10,FALSE)</f>
        <v>-60</v>
      </c>
      <c r="AL88" s="91" t="str">
        <f t="shared" si="137"/>
        <v>FED +</v>
      </c>
      <c r="AN88" s="5" t="str">
        <f t="shared" si="138"/>
        <v>FED +</v>
      </c>
      <c r="AO88" s="5">
        <f t="shared" si="139"/>
        <v>5</v>
      </c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</row>
    <row r="89" spans="2:77" s="5" customFormat="1" ht="27.95" customHeight="1" x14ac:dyDescent="0.2">
      <c r="B89" s="148" t="s">
        <v>314</v>
      </c>
      <c r="C89" s="161">
        <v>253454</v>
      </c>
      <c r="D89" s="92">
        <v>9</v>
      </c>
      <c r="E89" s="84" t="s">
        <v>108</v>
      </c>
      <c r="F89" s="36" t="s">
        <v>345</v>
      </c>
      <c r="G89" s="37" t="s">
        <v>635</v>
      </c>
      <c r="H89" s="92">
        <v>1995</v>
      </c>
      <c r="I89" s="192" t="s">
        <v>547</v>
      </c>
      <c r="J89" s="35" t="s">
        <v>108</v>
      </c>
      <c r="K89" s="103">
        <v>49.7</v>
      </c>
      <c r="L89" s="38">
        <v>50</v>
      </c>
      <c r="M89" s="39">
        <v>55</v>
      </c>
      <c r="N89" s="39">
        <v>-60</v>
      </c>
      <c r="O89" s="54">
        <f t="shared" si="132"/>
        <v>55</v>
      </c>
      <c r="P89" s="53">
        <v>60</v>
      </c>
      <c r="Q89" s="53">
        <v>64</v>
      </c>
      <c r="R89" s="53">
        <v>-66</v>
      </c>
      <c r="S89" s="54">
        <f t="shared" si="133"/>
        <v>64</v>
      </c>
      <c r="T89" s="55">
        <f t="shared" si="134"/>
        <v>119</v>
      </c>
      <c r="U89" s="56" t="str">
        <f t="shared" si="135"/>
        <v>FED + 4</v>
      </c>
      <c r="V89" s="86" t="str">
        <f>IF(E89=0," ",IF(E89="H",IF(OR(E89="SEN",H89&lt;1998),VLOOKUP(K89,Minimas!$A$11:$G$29,6),IF(AND(H89&gt;1997,H89&lt;2001),VLOOKUP(K89,Minimas!$A$11:$G$29,5),IF(AND(H89&gt;2000,H89&lt;2003),VLOOKUP(K89,Minimas!$A$11:$G$29,4),IF(AND(H89&gt;2002,H89&lt;2005),VLOOKUP(K89,Minimas!$A$11:$G$29,3),VLOOKUP(K89,Minimas!$A$11:$G$29,2))))),IF(OR(H89="SEN",H89&lt;1998),VLOOKUP(K89,Minimas!$G$11:$L$26,6),IF(AND(H89&gt;1997,H89&lt;2001),VLOOKUP(K89,Minimas!$G$11:$L$26,5),IF(AND(H89&gt;2000,H89&lt;2003),VLOOKUP(K89,Minimas!$G$11:$L$26,4),IF(AND(H89&gt;2002,H89&lt;2005),VLOOKUP(K89,Minimas!$G$11:$L$26,3),VLOOKUP(K89,Minimas!$G$11:$L$26,2)))))))</f>
        <v>FS 53</v>
      </c>
      <c r="W89" s="62">
        <f t="shared" si="136"/>
        <v>183.57386749887306</v>
      </c>
      <c r="X89" s="63"/>
      <c r="Y89" s="155" t="s">
        <v>441</v>
      </c>
      <c r="AC89" s="90">
        <f>T89-HLOOKUP(V89,Minimas!$C$1:$BN$10,2,FALSE)</f>
        <v>54</v>
      </c>
      <c r="AD89" s="90">
        <f>T89-HLOOKUP(V89,Minimas!$C$1:$BN$10,3,FALSE)</f>
        <v>44</v>
      </c>
      <c r="AE89" s="90">
        <f>T89-HLOOKUP(V89,Minimas!$C$1:$BN$10,4,FALSE)</f>
        <v>34</v>
      </c>
      <c r="AF89" s="90">
        <f>T89-HLOOKUP(V89,Minimas!$C$1:$BN$10,5,FALSE)</f>
        <v>19</v>
      </c>
      <c r="AG89" s="90">
        <f>T89-HLOOKUP(V89,Minimas!$C$1:$BN$10,6,FALSE)</f>
        <v>4</v>
      </c>
      <c r="AH89" s="90">
        <f>T89-HLOOKUP(V89,Minimas!$C$1:$BN$10,7,FALSE)</f>
        <v>-11</v>
      </c>
      <c r="AI89" s="90">
        <f>T89-HLOOKUP(V89,Minimas!$C$1:$BN$10,8,FALSE)</f>
        <v>-31</v>
      </c>
      <c r="AJ89" s="90">
        <f>T89-HLOOKUP(V89,Minimas!$C$1:$BN$10,9,FALSE)</f>
        <v>-46</v>
      </c>
      <c r="AK89" s="90">
        <f>T89-HLOOKUP(V89,Minimas!$C$1:$BN$10,10,FALSE)</f>
        <v>-61</v>
      </c>
      <c r="AL89" s="91" t="str">
        <f t="shared" si="137"/>
        <v>FED +</v>
      </c>
      <c r="AN89" s="5" t="str">
        <f t="shared" si="138"/>
        <v>FED +</v>
      </c>
      <c r="AO89" s="5">
        <f t="shared" si="139"/>
        <v>4</v>
      </c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</row>
    <row r="90" spans="2:77" s="5" customFormat="1" ht="27.95" customHeight="1" x14ac:dyDescent="0.2">
      <c r="B90" s="148" t="s">
        <v>121</v>
      </c>
      <c r="C90" s="161">
        <v>307137</v>
      </c>
      <c r="D90" s="92">
        <v>10</v>
      </c>
      <c r="E90" s="84" t="s">
        <v>108</v>
      </c>
      <c r="F90" s="36" t="s">
        <v>353</v>
      </c>
      <c r="G90" s="37" t="s">
        <v>354</v>
      </c>
      <c r="H90" s="92">
        <v>1991</v>
      </c>
      <c r="I90" s="192" t="s">
        <v>561</v>
      </c>
      <c r="J90" s="35" t="s">
        <v>108</v>
      </c>
      <c r="K90" s="103">
        <v>52.7</v>
      </c>
      <c r="L90" s="38">
        <v>50</v>
      </c>
      <c r="M90" s="39">
        <v>54</v>
      </c>
      <c r="N90" s="39">
        <v>-56</v>
      </c>
      <c r="O90" s="54">
        <f t="shared" si="132"/>
        <v>54</v>
      </c>
      <c r="P90" s="53">
        <v>56</v>
      </c>
      <c r="Q90" s="53">
        <v>61</v>
      </c>
      <c r="R90" s="53">
        <v>65</v>
      </c>
      <c r="S90" s="54">
        <f t="shared" si="133"/>
        <v>65</v>
      </c>
      <c r="T90" s="55">
        <f t="shared" si="134"/>
        <v>119</v>
      </c>
      <c r="U90" s="56" t="str">
        <f t="shared" si="135"/>
        <v>FED + 4</v>
      </c>
      <c r="V90" s="86" t="str">
        <f>IF(E90=0," ",IF(E90="H",IF(OR(E90="SEN",H90&lt;1998),VLOOKUP(K90,Minimas!$A$11:$G$29,6),IF(AND(H90&gt;1997,H90&lt;2001),VLOOKUP(K90,Minimas!$A$11:$G$29,5),IF(AND(H90&gt;2000,H90&lt;2003),VLOOKUP(K90,Minimas!$A$11:$G$29,4),IF(AND(H90&gt;2002,H90&lt;2005),VLOOKUP(K90,Minimas!$A$11:$G$29,3),VLOOKUP(K90,Minimas!$A$11:$G$29,2))))),IF(OR(H90="SEN",H90&lt;1998),VLOOKUP(K90,Minimas!$G$11:$L$26,6),IF(AND(H90&gt;1997,H90&lt;2001),VLOOKUP(K90,Minimas!$G$11:$L$26,5),IF(AND(H90&gt;2000,H90&lt;2003),VLOOKUP(K90,Minimas!$G$11:$L$26,4),IF(AND(H90&gt;2002,H90&lt;2005),VLOOKUP(K90,Minimas!$G$11:$L$26,3),VLOOKUP(K90,Minimas!$G$11:$L$26,2)))))))</f>
        <v>FS 53</v>
      </c>
      <c r="W90" s="62">
        <f t="shared" si="136"/>
        <v>175.69785237502379</v>
      </c>
      <c r="X90" s="63"/>
      <c r="Y90" s="155" t="s">
        <v>441</v>
      </c>
      <c r="AC90" s="90">
        <f>T90-HLOOKUP(V90,Minimas!$C$1:$BN$10,2,FALSE)</f>
        <v>54</v>
      </c>
      <c r="AD90" s="90">
        <f>T90-HLOOKUP(V90,Minimas!$C$1:$BN$10,3,FALSE)</f>
        <v>44</v>
      </c>
      <c r="AE90" s="90">
        <f>T90-HLOOKUP(V90,Minimas!$C$1:$BN$10,4,FALSE)</f>
        <v>34</v>
      </c>
      <c r="AF90" s="90">
        <f>T90-HLOOKUP(V90,Minimas!$C$1:$BN$10,5,FALSE)</f>
        <v>19</v>
      </c>
      <c r="AG90" s="90">
        <f>T90-HLOOKUP(V90,Minimas!$C$1:$BN$10,6,FALSE)</f>
        <v>4</v>
      </c>
      <c r="AH90" s="90">
        <f>T90-HLOOKUP(V90,Minimas!$C$1:$BN$10,7,FALSE)</f>
        <v>-11</v>
      </c>
      <c r="AI90" s="90">
        <f>T90-HLOOKUP(V90,Minimas!$C$1:$BN$10,8,FALSE)</f>
        <v>-31</v>
      </c>
      <c r="AJ90" s="90">
        <f>T90-HLOOKUP(V90,Minimas!$C$1:$BN$10,9,FALSE)</f>
        <v>-46</v>
      </c>
      <c r="AK90" s="90">
        <f>T90-HLOOKUP(V90,Minimas!$C$1:$BN$10,10,FALSE)</f>
        <v>-61</v>
      </c>
      <c r="AL90" s="91" t="str">
        <f t="shared" si="137"/>
        <v>FED +</v>
      </c>
      <c r="AN90" s="5" t="str">
        <f t="shared" si="138"/>
        <v>FED +</v>
      </c>
      <c r="AO90" s="5">
        <f t="shared" si="139"/>
        <v>4</v>
      </c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</row>
    <row r="91" spans="2:77" s="5" customFormat="1" ht="27.95" customHeight="1" x14ac:dyDescent="0.2">
      <c r="B91" s="148" t="s">
        <v>121</v>
      </c>
      <c r="C91" s="161">
        <v>432395</v>
      </c>
      <c r="D91" s="92">
        <v>11</v>
      </c>
      <c r="E91" s="84" t="s">
        <v>108</v>
      </c>
      <c r="F91" s="36" t="s">
        <v>460</v>
      </c>
      <c r="G91" s="37" t="s">
        <v>461</v>
      </c>
      <c r="H91" s="92">
        <v>1990</v>
      </c>
      <c r="I91" s="192" t="s">
        <v>349</v>
      </c>
      <c r="J91" s="35" t="s">
        <v>108</v>
      </c>
      <c r="K91" s="103">
        <v>53</v>
      </c>
      <c r="L91" s="38">
        <v>-52</v>
      </c>
      <c r="M91" s="39">
        <v>52</v>
      </c>
      <c r="N91" s="39">
        <v>-54</v>
      </c>
      <c r="O91" s="54">
        <f t="shared" si="132"/>
        <v>52</v>
      </c>
      <c r="P91" s="53">
        <v>63</v>
      </c>
      <c r="Q91" s="53">
        <v>65</v>
      </c>
      <c r="R91" s="53">
        <v>-68</v>
      </c>
      <c r="S91" s="54">
        <f t="shared" si="133"/>
        <v>65</v>
      </c>
      <c r="T91" s="55">
        <f t="shared" si="134"/>
        <v>117</v>
      </c>
      <c r="U91" s="56" t="str">
        <f t="shared" si="135"/>
        <v>FED + 2</v>
      </c>
      <c r="V91" s="86" t="str">
        <f>IF(E91=0," ",IF(E91="H",IF(OR(E91="SEN",H91&lt;1998),VLOOKUP(K91,Minimas!$A$11:$G$29,6),IF(AND(H91&gt;1997,H91&lt;2001),VLOOKUP(K91,Minimas!$A$11:$G$29,5),IF(AND(H91&gt;2000,H91&lt;2003),VLOOKUP(K91,Minimas!$A$11:$G$29,4),IF(AND(H91&gt;2002,H91&lt;2005),VLOOKUP(K91,Minimas!$A$11:$G$29,3),VLOOKUP(K91,Minimas!$A$11:$G$29,2))))),IF(OR(H91="SEN",H91&lt;1998),VLOOKUP(K91,Minimas!$G$11:$L$26,6),IF(AND(H91&gt;1997,H91&lt;2001),VLOOKUP(K91,Minimas!$G$11:$L$26,5),IF(AND(H91&gt;2000,H91&lt;2003),VLOOKUP(K91,Minimas!$G$11:$L$26,4),IF(AND(H91&gt;2002,H91&lt;2005),VLOOKUP(K91,Minimas!$G$11:$L$26,3),VLOOKUP(K91,Minimas!$G$11:$L$26,2)))))))</f>
        <v>FS 53</v>
      </c>
      <c r="W91" s="62">
        <f t="shared" si="136"/>
        <v>172.03421115779582</v>
      </c>
      <c r="X91" s="63"/>
      <c r="Y91" s="155" t="s">
        <v>441</v>
      </c>
      <c r="AC91" s="90">
        <f>T91-HLOOKUP(V91,Minimas!$C$1:$BN$10,2,FALSE)</f>
        <v>52</v>
      </c>
      <c r="AD91" s="90">
        <f>T91-HLOOKUP(V91,Minimas!$C$1:$BN$10,3,FALSE)</f>
        <v>42</v>
      </c>
      <c r="AE91" s="90">
        <f>T91-HLOOKUP(V91,Minimas!$C$1:$BN$10,4,FALSE)</f>
        <v>32</v>
      </c>
      <c r="AF91" s="90">
        <f>T91-HLOOKUP(V91,Minimas!$C$1:$BN$10,5,FALSE)</f>
        <v>17</v>
      </c>
      <c r="AG91" s="90">
        <f>T91-HLOOKUP(V91,Minimas!$C$1:$BN$10,6,FALSE)</f>
        <v>2</v>
      </c>
      <c r="AH91" s="90">
        <f>T91-HLOOKUP(V91,Minimas!$C$1:$BN$10,7,FALSE)</f>
        <v>-13</v>
      </c>
      <c r="AI91" s="90">
        <f>T91-HLOOKUP(V91,Minimas!$C$1:$BN$10,8,FALSE)</f>
        <v>-33</v>
      </c>
      <c r="AJ91" s="90">
        <f>T91-HLOOKUP(V91,Minimas!$C$1:$BN$10,9,FALSE)</f>
        <v>-48</v>
      </c>
      <c r="AK91" s="90">
        <f>T91-HLOOKUP(V91,Minimas!$C$1:$BN$10,10,FALSE)</f>
        <v>-63</v>
      </c>
      <c r="AL91" s="91" t="str">
        <f t="shared" si="137"/>
        <v>FED +</v>
      </c>
      <c r="AN91" s="5" t="str">
        <f t="shared" si="138"/>
        <v>FED +</v>
      </c>
      <c r="AO91" s="5">
        <f t="shared" si="139"/>
        <v>2</v>
      </c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</row>
    <row r="92" spans="2:77" s="5" customFormat="1" ht="27.95" customHeight="1" x14ac:dyDescent="0.2">
      <c r="B92" s="148" t="s">
        <v>324</v>
      </c>
      <c r="C92" s="161">
        <v>438546</v>
      </c>
      <c r="D92" s="92">
        <v>12</v>
      </c>
      <c r="E92" s="84" t="s">
        <v>108</v>
      </c>
      <c r="F92" s="36" t="s">
        <v>342</v>
      </c>
      <c r="G92" s="37" t="s">
        <v>343</v>
      </c>
      <c r="H92" s="92">
        <v>1987</v>
      </c>
      <c r="I92" s="192" t="s">
        <v>383</v>
      </c>
      <c r="J92" s="35" t="s">
        <v>344</v>
      </c>
      <c r="K92" s="103">
        <v>52</v>
      </c>
      <c r="L92" s="38">
        <v>45</v>
      </c>
      <c r="M92" s="39">
        <v>48</v>
      </c>
      <c r="N92" s="39">
        <v>51</v>
      </c>
      <c r="O92" s="54">
        <f t="shared" si="132"/>
        <v>51</v>
      </c>
      <c r="P92" s="53">
        <v>58</v>
      </c>
      <c r="Q92" s="53">
        <v>62</v>
      </c>
      <c r="R92" s="53">
        <v>65</v>
      </c>
      <c r="S92" s="54">
        <f t="shared" si="133"/>
        <v>65</v>
      </c>
      <c r="T92" s="55">
        <f t="shared" si="134"/>
        <v>116</v>
      </c>
      <c r="U92" s="56" t="str">
        <f t="shared" si="135"/>
        <v>FED + 1</v>
      </c>
      <c r="V92" s="86" t="str">
        <f>IF(E92=0," ",IF(E92="H",IF(OR(E92="SEN",H92&lt;1998),VLOOKUP(K92,Minimas!$A$11:$G$29,6),IF(AND(H92&gt;1997,H92&lt;2001),VLOOKUP(K92,Minimas!$A$11:$G$29,5),IF(AND(H92&gt;2000,H92&lt;2003),VLOOKUP(K92,Minimas!$A$11:$G$29,4),IF(AND(H92&gt;2002,H92&lt;2005),VLOOKUP(K92,Minimas!$A$11:$G$29,3),VLOOKUP(K92,Minimas!$A$11:$G$29,2))))),IF(OR(H92="SEN",H92&lt;1998),VLOOKUP(K92,Minimas!$G$11:$L$26,6),IF(AND(H92&gt;1997,H92&lt;2001),VLOOKUP(K92,Minimas!$G$11:$L$26,5),IF(AND(H92&gt;2000,H92&lt;2003),VLOOKUP(K92,Minimas!$G$11:$L$26,4),IF(AND(H92&gt;2002,H92&lt;2005),VLOOKUP(K92,Minimas!$G$11:$L$26,3),VLOOKUP(K92,Minimas!$G$11:$L$26,2)))))))</f>
        <v>FS 53</v>
      </c>
      <c r="W92" s="62">
        <f t="shared" si="136"/>
        <v>172.95494596782024</v>
      </c>
      <c r="X92" s="63"/>
      <c r="Y92" s="156" t="s">
        <v>319</v>
      </c>
      <c r="AC92" s="90">
        <f>T92-HLOOKUP(V92,Minimas!$C$1:$BN$10,2,FALSE)</f>
        <v>51</v>
      </c>
      <c r="AD92" s="90">
        <f>T92-HLOOKUP(V92,Minimas!$C$1:$BN$10,3,FALSE)</f>
        <v>41</v>
      </c>
      <c r="AE92" s="90">
        <f>T92-HLOOKUP(V92,Minimas!$C$1:$BN$10,4,FALSE)</f>
        <v>31</v>
      </c>
      <c r="AF92" s="90">
        <f>T92-HLOOKUP(V92,Minimas!$C$1:$BN$10,5,FALSE)</f>
        <v>16</v>
      </c>
      <c r="AG92" s="90">
        <f>T92-HLOOKUP(V92,Minimas!$C$1:$BN$10,6,FALSE)</f>
        <v>1</v>
      </c>
      <c r="AH92" s="90">
        <f>T92-HLOOKUP(V92,Minimas!$C$1:$BN$10,7,FALSE)</f>
        <v>-14</v>
      </c>
      <c r="AI92" s="90">
        <f>T92-HLOOKUP(V92,Minimas!$C$1:$BN$10,8,FALSE)</f>
        <v>-34</v>
      </c>
      <c r="AJ92" s="90">
        <f>T92-HLOOKUP(V92,Minimas!$C$1:$BN$10,9,FALSE)</f>
        <v>-49</v>
      </c>
      <c r="AK92" s="90">
        <f>T92-HLOOKUP(V92,Minimas!$C$1:$BN$10,10,FALSE)</f>
        <v>-64</v>
      </c>
      <c r="AL92" s="91" t="str">
        <f t="shared" si="137"/>
        <v>FED +</v>
      </c>
      <c r="AN92" s="5" t="str">
        <f t="shared" si="138"/>
        <v>FED +</v>
      </c>
      <c r="AO92" s="5">
        <f t="shared" si="139"/>
        <v>1</v>
      </c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</row>
    <row r="93" spans="2:77" s="5" customFormat="1" ht="27.95" customHeight="1" x14ac:dyDescent="0.2">
      <c r="B93" s="148" t="s">
        <v>129</v>
      </c>
      <c r="C93" s="161">
        <v>429402</v>
      </c>
      <c r="D93" s="92">
        <v>13</v>
      </c>
      <c r="E93" s="84" t="s">
        <v>108</v>
      </c>
      <c r="F93" s="36" t="s">
        <v>346</v>
      </c>
      <c r="G93" s="37" t="s">
        <v>636</v>
      </c>
      <c r="H93" s="92">
        <v>1990</v>
      </c>
      <c r="I93" s="192" t="s">
        <v>609</v>
      </c>
      <c r="J93" s="35" t="s">
        <v>108</v>
      </c>
      <c r="K93" s="103">
        <v>50.5</v>
      </c>
      <c r="L93" s="38">
        <v>48</v>
      </c>
      <c r="M93" s="39">
        <v>50</v>
      </c>
      <c r="N93" s="39">
        <v>52</v>
      </c>
      <c r="O93" s="54">
        <f t="shared" si="132"/>
        <v>52</v>
      </c>
      <c r="P93" s="53">
        <v>60</v>
      </c>
      <c r="Q93" s="53">
        <v>63</v>
      </c>
      <c r="R93" s="53">
        <v>-65</v>
      </c>
      <c r="S93" s="54">
        <f t="shared" si="133"/>
        <v>63</v>
      </c>
      <c r="T93" s="55">
        <f t="shared" si="134"/>
        <v>115</v>
      </c>
      <c r="U93" s="56" t="str">
        <f t="shared" si="135"/>
        <v>FED + 0</v>
      </c>
      <c r="V93" s="86" t="str">
        <f>IF(E93=0," ",IF(E93="H",IF(OR(E93="SEN",H93&lt;1998),VLOOKUP(K93,Minimas!$A$11:$G$29,6),IF(AND(H93&gt;1997,H93&lt;2001),VLOOKUP(K93,Minimas!$A$11:$G$29,5),IF(AND(H93&gt;2000,H93&lt;2003),VLOOKUP(K93,Minimas!$A$11:$G$29,4),IF(AND(H93&gt;2002,H93&lt;2005),VLOOKUP(K93,Minimas!$A$11:$G$29,3),VLOOKUP(K93,Minimas!$A$11:$G$29,2))))),IF(OR(H93="SEN",H93&lt;1998),VLOOKUP(K93,Minimas!$G$11:$L$26,6),IF(AND(H93&gt;1997,H93&lt;2001),VLOOKUP(K93,Minimas!$G$11:$L$26,5),IF(AND(H93&gt;2000,H93&lt;2003),VLOOKUP(K93,Minimas!$G$11:$L$26,4),IF(AND(H93&gt;2002,H93&lt;2005),VLOOKUP(K93,Minimas!$G$11:$L$26,3),VLOOKUP(K93,Minimas!$G$11:$L$26,2)))))))</f>
        <v>FS 53</v>
      </c>
      <c r="W93" s="62">
        <f t="shared" si="136"/>
        <v>175.25583015425576</v>
      </c>
      <c r="X93" s="63"/>
      <c r="Y93" s="156" t="s">
        <v>319</v>
      </c>
      <c r="AC93" s="90">
        <f>T93-HLOOKUP(V93,Minimas!$C$1:$BN$10,2,FALSE)</f>
        <v>50</v>
      </c>
      <c r="AD93" s="90">
        <f>T93-HLOOKUP(V93,Minimas!$C$1:$BN$10,3,FALSE)</f>
        <v>40</v>
      </c>
      <c r="AE93" s="90">
        <f>T93-HLOOKUP(V93,Minimas!$C$1:$BN$10,4,FALSE)</f>
        <v>30</v>
      </c>
      <c r="AF93" s="90">
        <f>T93-HLOOKUP(V93,Minimas!$C$1:$BN$10,5,FALSE)</f>
        <v>15</v>
      </c>
      <c r="AG93" s="90">
        <f>T93-HLOOKUP(V93,Minimas!$C$1:$BN$10,6,FALSE)</f>
        <v>0</v>
      </c>
      <c r="AH93" s="90">
        <f>T93-HLOOKUP(V93,Minimas!$C$1:$BN$10,7,FALSE)</f>
        <v>-15</v>
      </c>
      <c r="AI93" s="90">
        <f>T93-HLOOKUP(V93,Minimas!$C$1:$BN$10,8,FALSE)</f>
        <v>-35</v>
      </c>
      <c r="AJ93" s="90">
        <f>T93-HLOOKUP(V93,Minimas!$C$1:$BN$10,9,FALSE)</f>
        <v>-50</v>
      </c>
      <c r="AK93" s="90">
        <f>T93-HLOOKUP(V93,Minimas!$C$1:$BN$10,10,FALSE)</f>
        <v>-65</v>
      </c>
      <c r="AL93" s="91" t="str">
        <f t="shared" si="137"/>
        <v>FED +</v>
      </c>
      <c r="AN93" s="5" t="str">
        <f t="shared" si="138"/>
        <v>FED +</v>
      </c>
      <c r="AO93" s="5">
        <f t="shared" si="139"/>
        <v>0</v>
      </c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</row>
    <row r="94" spans="2:77" s="5" customFormat="1" ht="27.95" customHeight="1" x14ac:dyDescent="0.2">
      <c r="B94" s="148" t="s">
        <v>121</v>
      </c>
      <c r="C94" s="161">
        <v>429564</v>
      </c>
      <c r="D94" s="92">
        <v>14</v>
      </c>
      <c r="E94" s="84" t="s">
        <v>108</v>
      </c>
      <c r="F94" s="36" t="s">
        <v>347</v>
      </c>
      <c r="G94" s="37" t="s">
        <v>348</v>
      </c>
      <c r="H94" s="92">
        <v>1989</v>
      </c>
      <c r="I94" s="192" t="s">
        <v>349</v>
      </c>
      <c r="J94" s="35" t="s">
        <v>108</v>
      </c>
      <c r="K94" s="103">
        <v>50.65</v>
      </c>
      <c r="L94" s="38">
        <v>48</v>
      </c>
      <c r="M94" s="39">
        <v>51</v>
      </c>
      <c r="N94" s="39">
        <v>-54</v>
      </c>
      <c r="O94" s="54">
        <f t="shared" si="132"/>
        <v>51</v>
      </c>
      <c r="P94" s="53">
        <v>62</v>
      </c>
      <c r="Q94" s="53">
        <v>64</v>
      </c>
      <c r="R94" s="53">
        <v>-67</v>
      </c>
      <c r="S94" s="54">
        <f t="shared" si="133"/>
        <v>64</v>
      </c>
      <c r="T94" s="55">
        <f t="shared" si="134"/>
        <v>115</v>
      </c>
      <c r="U94" s="56" t="str">
        <f t="shared" si="135"/>
        <v>FED + 0</v>
      </c>
      <c r="V94" s="86" t="str">
        <f>IF(E94=0," ",IF(E94="H",IF(OR(E94="SEN",H94&lt;1998),VLOOKUP(K94,Minimas!$A$11:$G$29,6),IF(AND(H94&gt;1997,H94&lt;2001),VLOOKUP(K94,Minimas!$A$11:$G$29,5),IF(AND(H94&gt;2000,H94&lt;2003),VLOOKUP(K94,Minimas!$A$11:$G$29,4),IF(AND(H94&gt;2002,H94&lt;2005),VLOOKUP(K94,Minimas!$A$11:$G$29,3),VLOOKUP(K94,Minimas!$A$11:$G$29,2))))),IF(OR(H94="SEN",H94&lt;1998),VLOOKUP(K94,Minimas!$G$11:$L$26,6),IF(AND(H94&gt;1997,H94&lt;2001),VLOOKUP(K94,Minimas!$G$11:$L$26,5),IF(AND(H94&gt;2000,H94&lt;2003),VLOOKUP(K94,Minimas!$G$11:$L$26,4),IF(AND(H94&gt;2002,H94&lt;2005),VLOOKUP(K94,Minimas!$G$11:$L$26,3),VLOOKUP(K94,Minimas!$G$11:$L$26,2)))))))</f>
        <v>FS 53</v>
      </c>
      <c r="W94" s="62">
        <f t="shared" si="136"/>
        <v>174.86317955175295</v>
      </c>
      <c r="X94" s="63"/>
      <c r="Y94" s="156" t="s">
        <v>319</v>
      </c>
      <c r="AC94" s="90">
        <f>T94-HLOOKUP(V94,Minimas!$C$1:$BN$10,2,FALSE)</f>
        <v>50</v>
      </c>
      <c r="AD94" s="90">
        <f>T94-HLOOKUP(V94,Minimas!$C$1:$BN$10,3,FALSE)</f>
        <v>40</v>
      </c>
      <c r="AE94" s="90">
        <f>T94-HLOOKUP(V94,Minimas!$C$1:$BN$10,4,FALSE)</f>
        <v>30</v>
      </c>
      <c r="AF94" s="90">
        <f>T94-HLOOKUP(V94,Minimas!$C$1:$BN$10,5,FALSE)</f>
        <v>15</v>
      </c>
      <c r="AG94" s="90">
        <f>T94-HLOOKUP(V94,Minimas!$C$1:$BN$10,6,FALSE)</f>
        <v>0</v>
      </c>
      <c r="AH94" s="90">
        <f>T94-HLOOKUP(V94,Minimas!$C$1:$BN$10,7,FALSE)</f>
        <v>-15</v>
      </c>
      <c r="AI94" s="90">
        <f>T94-HLOOKUP(V94,Minimas!$C$1:$BN$10,8,FALSE)</f>
        <v>-35</v>
      </c>
      <c r="AJ94" s="90">
        <f>T94-HLOOKUP(V94,Minimas!$C$1:$BN$10,9,FALSE)</f>
        <v>-50</v>
      </c>
      <c r="AK94" s="90">
        <f>T94-HLOOKUP(V94,Minimas!$C$1:$BN$10,10,FALSE)</f>
        <v>-65</v>
      </c>
      <c r="AL94" s="91" t="str">
        <f t="shared" si="137"/>
        <v>FED +</v>
      </c>
      <c r="AN94" s="5" t="str">
        <f t="shared" si="138"/>
        <v>FED +</v>
      </c>
      <c r="AO94" s="5">
        <f t="shared" si="139"/>
        <v>0</v>
      </c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</row>
    <row r="95" spans="2:77" s="5" customFormat="1" ht="27.95" customHeight="1" x14ac:dyDescent="0.2">
      <c r="B95" s="148" t="s">
        <v>124</v>
      </c>
      <c r="C95" s="161">
        <v>399131</v>
      </c>
      <c r="D95" s="92">
        <v>15</v>
      </c>
      <c r="E95" s="84" t="s">
        <v>108</v>
      </c>
      <c r="F95" s="36" t="s">
        <v>350</v>
      </c>
      <c r="G95" s="37" t="s">
        <v>637</v>
      </c>
      <c r="H95" s="92">
        <v>1988</v>
      </c>
      <c r="I95" s="192" t="s">
        <v>544</v>
      </c>
      <c r="J95" s="35" t="s">
        <v>108</v>
      </c>
      <c r="K95" s="103">
        <v>50.8</v>
      </c>
      <c r="L95" s="38">
        <v>-51</v>
      </c>
      <c r="M95" s="39">
        <v>51</v>
      </c>
      <c r="N95" s="39">
        <v>-55</v>
      </c>
      <c r="O95" s="54">
        <f t="shared" si="132"/>
        <v>51</v>
      </c>
      <c r="P95" s="53">
        <v>64</v>
      </c>
      <c r="Q95" s="53">
        <v>-68</v>
      </c>
      <c r="R95" s="53">
        <v>-70</v>
      </c>
      <c r="S95" s="54">
        <f t="shared" si="133"/>
        <v>64</v>
      </c>
      <c r="T95" s="55">
        <f t="shared" si="134"/>
        <v>115</v>
      </c>
      <c r="U95" s="56" t="str">
        <f t="shared" si="135"/>
        <v>FED + 0</v>
      </c>
      <c r="V95" s="86" t="str">
        <f>IF(E95=0," ",IF(E95="H",IF(OR(E95="SEN",H95&lt;1998),VLOOKUP(K95,Minimas!$A$11:$G$29,6),IF(AND(H95&gt;1997,H95&lt;2001),VLOOKUP(K95,Minimas!$A$11:$G$29,5),IF(AND(H95&gt;2000,H95&lt;2003),VLOOKUP(K95,Minimas!$A$11:$G$29,4),IF(AND(H95&gt;2002,H95&lt;2005),VLOOKUP(K95,Minimas!$A$11:$G$29,3),VLOOKUP(K95,Minimas!$A$11:$G$29,2))))),IF(OR(H95="SEN",H95&lt;1998),VLOOKUP(K95,Minimas!$G$11:$L$26,6),IF(AND(H95&gt;1997,H95&lt;2001),VLOOKUP(K95,Minimas!$G$11:$L$26,5),IF(AND(H95&gt;2000,H95&lt;2003),VLOOKUP(K95,Minimas!$G$11:$L$26,4),IF(AND(H95&gt;2002,H95&lt;2005),VLOOKUP(K95,Minimas!$G$11:$L$26,3),VLOOKUP(K95,Minimas!$G$11:$L$26,2)))))))</f>
        <v>FS 53</v>
      </c>
      <c r="W95" s="62">
        <f t="shared" si="136"/>
        <v>174.47360571276542</v>
      </c>
      <c r="X95" s="63"/>
      <c r="Y95" s="156" t="s">
        <v>319</v>
      </c>
      <c r="AC95" s="90">
        <f>T95-HLOOKUP(V95,Minimas!$C$1:$BN$10,2,FALSE)</f>
        <v>50</v>
      </c>
      <c r="AD95" s="90">
        <f>T95-HLOOKUP(V95,Minimas!$C$1:$BN$10,3,FALSE)</f>
        <v>40</v>
      </c>
      <c r="AE95" s="90">
        <f>T95-HLOOKUP(V95,Minimas!$C$1:$BN$10,4,FALSE)</f>
        <v>30</v>
      </c>
      <c r="AF95" s="90">
        <f>T95-HLOOKUP(V95,Minimas!$C$1:$BN$10,5,FALSE)</f>
        <v>15</v>
      </c>
      <c r="AG95" s="90">
        <f>T95-HLOOKUP(V95,Minimas!$C$1:$BN$10,6,FALSE)</f>
        <v>0</v>
      </c>
      <c r="AH95" s="90">
        <f>T95-HLOOKUP(V95,Minimas!$C$1:$BN$10,7,FALSE)</f>
        <v>-15</v>
      </c>
      <c r="AI95" s="90">
        <f>T95-HLOOKUP(V95,Minimas!$C$1:$BN$10,8,FALSE)</f>
        <v>-35</v>
      </c>
      <c r="AJ95" s="90">
        <f>T95-HLOOKUP(V95,Minimas!$C$1:$BN$10,9,FALSE)</f>
        <v>-50</v>
      </c>
      <c r="AK95" s="90">
        <f>T95-HLOOKUP(V95,Minimas!$C$1:$BN$10,10,FALSE)</f>
        <v>-65</v>
      </c>
      <c r="AL95" s="91" t="str">
        <f t="shared" si="137"/>
        <v>FED +</v>
      </c>
      <c r="AN95" s="5" t="str">
        <f t="shared" si="138"/>
        <v>FED +</v>
      </c>
      <c r="AO95" s="5">
        <f t="shared" si="139"/>
        <v>0</v>
      </c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</row>
    <row r="96" spans="2:77" s="5" customFormat="1" ht="27.95" customHeight="1" x14ac:dyDescent="0.2">
      <c r="B96" s="148" t="s">
        <v>121</v>
      </c>
      <c r="C96" s="161">
        <v>323896</v>
      </c>
      <c r="D96" s="92">
        <v>16</v>
      </c>
      <c r="E96" s="84" t="s">
        <v>108</v>
      </c>
      <c r="F96" s="36" t="s">
        <v>351</v>
      </c>
      <c r="G96" s="37" t="s">
        <v>352</v>
      </c>
      <c r="H96" s="92">
        <v>1997</v>
      </c>
      <c r="I96" s="192" t="s">
        <v>545</v>
      </c>
      <c r="J96" s="35" t="s">
        <v>108</v>
      </c>
      <c r="K96" s="103">
        <v>51.99</v>
      </c>
      <c r="L96" s="38">
        <v>48</v>
      </c>
      <c r="M96" s="39">
        <v>50</v>
      </c>
      <c r="N96" s="39">
        <v>52</v>
      </c>
      <c r="O96" s="54">
        <f t="shared" si="132"/>
        <v>52</v>
      </c>
      <c r="P96" s="53">
        <v>60</v>
      </c>
      <c r="Q96" s="53">
        <v>63</v>
      </c>
      <c r="R96" s="53">
        <v>-66</v>
      </c>
      <c r="S96" s="54">
        <f t="shared" si="133"/>
        <v>63</v>
      </c>
      <c r="T96" s="55">
        <f t="shared" si="134"/>
        <v>115</v>
      </c>
      <c r="U96" s="56" t="str">
        <f t="shared" si="135"/>
        <v>FED + 0</v>
      </c>
      <c r="V96" s="86" t="str">
        <f>IF(E96=0," ",IF(E96="H",IF(OR(E96="SEN",H96&lt;1998),VLOOKUP(K96,Minimas!$A$11:$G$29,6),IF(AND(H96&gt;1997,H96&lt;2001),VLOOKUP(K96,Minimas!$A$11:$G$29,5),IF(AND(H96&gt;2000,H96&lt;2003),VLOOKUP(K96,Minimas!$A$11:$G$29,4),IF(AND(H96&gt;2002,H96&lt;2005),VLOOKUP(K96,Minimas!$A$11:$G$29,3),VLOOKUP(K96,Minimas!$A$11:$G$29,2))))),IF(OR(H96="SEN",H96&lt;1998),VLOOKUP(K96,Minimas!$G$11:$L$26,6),IF(AND(H96&gt;1997,H96&lt;2001),VLOOKUP(K96,Minimas!$G$11:$L$26,5),IF(AND(H96&gt;2000,H96&lt;2003),VLOOKUP(K96,Minimas!$G$11:$L$26,4),IF(AND(H96&gt;2002,H96&lt;2005),VLOOKUP(K96,Minimas!$G$11:$L$26,3),VLOOKUP(K96,Minimas!$G$11:$L$26,2)))))))</f>
        <v>FS 53</v>
      </c>
      <c r="W96" s="62">
        <f t="shared" si="136"/>
        <v>171.48827417327072</v>
      </c>
      <c r="X96" s="63"/>
      <c r="Y96" s="156" t="s">
        <v>319</v>
      </c>
      <c r="AC96" s="90">
        <f>T96-HLOOKUP(V96,Minimas!$C$1:$BN$10,2,FALSE)</f>
        <v>50</v>
      </c>
      <c r="AD96" s="90">
        <f>T96-HLOOKUP(V96,Minimas!$C$1:$BN$10,3,FALSE)</f>
        <v>40</v>
      </c>
      <c r="AE96" s="90">
        <f>T96-HLOOKUP(V96,Minimas!$C$1:$BN$10,4,FALSE)</f>
        <v>30</v>
      </c>
      <c r="AF96" s="90">
        <f>T96-HLOOKUP(V96,Minimas!$C$1:$BN$10,5,FALSE)</f>
        <v>15</v>
      </c>
      <c r="AG96" s="90">
        <f>T96-HLOOKUP(V96,Minimas!$C$1:$BN$10,6,FALSE)</f>
        <v>0</v>
      </c>
      <c r="AH96" s="90">
        <f>T96-HLOOKUP(V96,Minimas!$C$1:$BN$10,7,FALSE)</f>
        <v>-15</v>
      </c>
      <c r="AI96" s="90">
        <f>T96-HLOOKUP(V96,Minimas!$C$1:$BN$10,8,FALSE)</f>
        <v>-35</v>
      </c>
      <c r="AJ96" s="90">
        <f>T96-HLOOKUP(V96,Minimas!$C$1:$BN$10,9,FALSE)</f>
        <v>-50</v>
      </c>
      <c r="AK96" s="90">
        <f>T96-HLOOKUP(V96,Minimas!$C$1:$BN$10,10,FALSE)</f>
        <v>-65</v>
      </c>
      <c r="AL96" s="91" t="str">
        <f t="shared" si="137"/>
        <v>FED +</v>
      </c>
      <c r="AN96" s="5" t="str">
        <f t="shared" si="138"/>
        <v>FED +</v>
      </c>
      <c r="AO96" s="5">
        <f t="shared" si="139"/>
        <v>0</v>
      </c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</row>
    <row r="97" spans="1:124" s="5" customFormat="1" ht="27.95" customHeight="1" thickBot="1" x14ac:dyDescent="0.25">
      <c r="B97" s="148" t="s">
        <v>129</v>
      </c>
      <c r="C97" s="161">
        <v>431066</v>
      </c>
      <c r="D97" s="92">
        <v>17</v>
      </c>
      <c r="E97" s="84" t="s">
        <v>108</v>
      </c>
      <c r="F97" s="36" t="s">
        <v>462</v>
      </c>
      <c r="G97" s="37" t="s">
        <v>638</v>
      </c>
      <c r="H97" s="92">
        <v>1995</v>
      </c>
      <c r="I97" s="192" t="s">
        <v>375</v>
      </c>
      <c r="J97" s="35" t="s">
        <v>108</v>
      </c>
      <c r="K97" s="103">
        <v>53</v>
      </c>
      <c r="L97" s="38">
        <v>50</v>
      </c>
      <c r="M97" s="39">
        <v>52</v>
      </c>
      <c r="N97" s="39">
        <v>-55</v>
      </c>
      <c r="O97" s="54">
        <f t="shared" si="132"/>
        <v>52</v>
      </c>
      <c r="P97" s="53">
        <v>-63</v>
      </c>
      <c r="Q97" s="53">
        <v>63</v>
      </c>
      <c r="R97" s="53">
        <v>-65</v>
      </c>
      <c r="S97" s="54">
        <f t="shared" si="133"/>
        <v>63</v>
      </c>
      <c r="T97" s="55">
        <f t="shared" si="134"/>
        <v>115</v>
      </c>
      <c r="U97" s="56" t="str">
        <f t="shared" si="135"/>
        <v>FED + 0</v>
      </c>
      <c r="V97" s="86" t="str">
        <f>IF(E97=0," ",IF(E97="H",IF(OR(E97="SEN",H97&lt;1998),VLOOKUP(K97,Minimas!$A$11:$G$29,6),IF(AND(H97&gt;1997,H97&lt;2001),VLOOKUP(K97,Minimas!$A$11:$G$29,5),IF(AND(H97&gt;2000,H97&lt;2003),VLOOKUP(K97,Minimas!$A$11:$G$29,4),IF(AND(H97&gt;2002,H97&lt;2005),VLOOKUP(K97,Minimas!$A$11:$G$29,3),VLOOKUP(K97,Minimas!$A$11:$G$29,2))))),IF(OR(H97="SEN",H97&lt;1998),VLOOKUP(K97,Minimas!$G$11:$L$26,6),IF(AND(H97&gt;1997,H97&lt;2001),VLOOKUP(K97,Minimas!$G$11:$L$26,5),IF(AND(H97&gt;2000,H97&lt;2003),VLOOKUP(K97,Minimas!$G$11:$L$26,4),IF(AND(H97&gt;2002,H97&lt;2005),VLOOKUP(K97,Minimas!$G$11:$L$26,3),VLOOKUP(K97,Minimas!$G$11:$L$26,2)))))))</f>
        <v>FS 53</v>
      </c>
      <c r="W97" s="62">
        <f t="shared" si="136"/>
        <v>169.0934554115087</v>
      </c>
      <c r="X97" s="63"/>
      <c r="Y97" s="155" t="s">
        <v>441</v>
      </c>
      <c r="AC97" s="90">
        <f>T97-HLOOKUP(V97,Minimas!$C$1:$BN$10,2,FALSE)</f>
        <v>50</v>
      </c>
      <c r="AD97" s="90">
        <f>T97-HLOOKUP(V97,Minimas!$C$1:$BN$10,3,FALSE)</f>
        <v>40</v>
      </c>
      <c r="AE97" s="90">
        <f>T97-HLOOKUP(V97,Minimas!$C$1:$BN$10,4,FALSE)</f>
        <v>30</v>
      </c>
      <c r="AF97" s="90">
        <f>T97-HLOOKUP(V97,Minimas!$C$1:$BN$10,5,FALSE)</f>
        <v>15</v>
      </c>
      <c r="AG97" s="90">
        <f>T97-HLOOKUP(V97,Minimas!$C$1:$BN$10,6,FALSE)</f>
        <v>0</v>
      </c>
      <c r="AH97" s="90">
        <f>T97-HLOOKUP(V97,Minimas!$C$1:$BN$10,7,FALSE)</f>
        <v>-15</v>
      </c>
      <c r="AI97" s="90">
        <f>T97-HLOOKUP(V97,Minimas!$C$1:$BN$10,8,FALSE)</f>
        <v>-35</v>
      </c>
      <c r="AJ97" s="90">
        <f>T97-HLOOKUP(V97,Minimas!$C$1:$BN$10,9,FALSE)</f>
        <v>-50</v>
      </c>
      <c r="AK97" s="90">
        <f>T97-HLOOKUP(V97,Minimas!$C$1:$BN$10,10,FALSE)</f>
        <v>-65</v>
      </c>
      <c r="AL97" s="91" t="str">
        <f t="shared" si="137"/>
        <v>FED +</v>
      </c>
      <c r="AN97" s="5" t="str">
        <f t="shared" si="138"/>
        <v>FED +</v>
      </c>
      <c r="AO97" s="5">
        <f t="shared" si="139"/>
        <v>0</v>
      </c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</row>
    <row r="98" spans="1:124" s="11" customFormat="1" ht="5.0999999999999996" customHeight="1" x14ac:dyDescent="0.2">
      <c r="A98" s="8"/>
      <c r="B98" s="164"/>
      <c r="C98" s="165"/>
      <c r="D98" s="166"/>
      <c r="E98" s="166"/>
      <c r="F98" s="167"/>
      <c r="G98" s="168"/>
      <c r="H98" s="169"/>
      <c r="I98" s="200"/>
      <c r="J98" s="171"/>
      <c r="K98" s="172"/>
      <c r="L98" s="173"/>
      <c r="M98" s="173"/>
      <c r="N98" s="173"/>
      <c r="O98" s="174"/>
      <c r="P98" s="173"/>
      <c r="Q98" s="173"/>
      <c r="R98" s="173"/>
      <c r="S98" s="174"/>
      <c r="T98" s="174"/>
      <c r="U98" s="166"/>
      <c r="V98" s="175"/>
      <c r="W98" s="176"/>
      <c r="X98" s="7"/>
      <c r="Y98" s="177"/>
      <c r="Z98" s="7"/>
      <c r="AA98" s="7"/>
      <c r="AB98" s="7"/>
      <c r="AC98" s="89" t="s">
        <v>60</v>
      </c>
      <c r="AD98" s="89" t="s">
        <v>61</v>
      </c>
      <c r="AE98" s="89" t="s">
        <v>62</v>
      </c>
      <c r="AF98" s="89" t="s">
        <v>63</v>
      </c>
      <c r="AG98" s="89" t="s">
        <v>64</v>
      </c>
      <c r="AH98" s="89" t="s">
        <v>65</v>
      </c>
      <c r="AI98" s="89" t="s">
        <v>66</v>
      </c>
      <c r="AJ98" s="89" t="s">
        <v>67</v>
      </c>
      <c r="AK98" s="89" t="s">
        <v>68</v>
      </c>
      <c r="AL98" s="89"/>
      <c r="AM98" s="7"/>
      <c r="AN98" s="7"/>
      <c r="AO98" s="7"/>
      <c r="AP98" s="7"/>
      <c r="AQ98" s="7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</row>
    <row r="99" spans="1:124" s="197" customFormat="1" ht="27.95" customHeight="1" x14ac:dyDescent="0.2">
      <c r="B99" s="229" t="s">
        <v>660</v>
      </c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197" t="str">
        <f t="shared" ref="Z99" si="148">IF(P99=0," ",MAXA(P99+Q99,Q99+R99,P99+R99))</f>
        <v xml:space="preserve"> </v>
      </c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</row>
    <row r="100" spans="1:124" s="11" customFormat="1" ht="5.0999999999999996" customHeight="1" thickBot="1" x14ac:dyDescent="0.25">
      <c r="A100" s="8"/>
      <c r="B100" s="178"/>
      <c r="C100" s="179"/>
      <c r="D100" s="180"/>
      <c r="E100" s="180"/>
      <c r="F100" s="181"/>
      <c r="G100" s="182"/>
      <c r="H100" s="183"/>
      <c r="I100" s="206"/>
      <c r="J100" s="185"/>
      <c r="K100" s="186"/>
      <c r="L100" s="187"/>
      <c r="M100" s="187"/>
      <c r="N100" s="187"/>
      <c r="O100" s="188"/>
      <c r="P100" s="187"/>
      <c r="Q100" s="187"/>
      <c r="R100" s="187"/>
      <c r="S100" s="188"/>
      <c r="T100" s="188"/>
      <c r="U100" s="180"/>
      <c r="V100" s="189"/>
      <c r="W100" s="190"/>
      <c r="X100" s="7"/>
      <c r="Y100" s="191"/>
      <c r="Z100" s="7"/>
      <c r="AA100" s="7"/>
      <c r="AB100" s="7"/>
      <c r="AC100" s="89" t="s">
        <v>60</v>
      </c>
      <c r="AD100" s="89" t="s">
        <v>61</v>
      </c>
      <c r="AE100" s="89" t="s">
        <v>62</v>
      </c>
      <c r="AF100" s="89" t="s">
        <v>63</v>
      </c>
      <c r="AG100" s="89" t="s">
        <v>64</v>
      </c>
      <c r="AH100" s="89" t="s">
        <v>65</v>
      </c>
      <c r="AI100" s="89" t="s">
        <v>66</v>
      </c>
      <c r="AJ100" s="89" t="s">
        <v>67</v>
      </c>
      <c r="AK100" s="89" t="s">
        <v>68</v>
      </c>
      <c r="AL100" s="89"/>
      <c r="AM100" s="7"/>
      <c r="AN100" s="7"/>
      <c r="AO100" s="7"/>
      <c r="AP100" s="7"/>
      <c r="AQ100" s="7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</row>
    <row r="101" spans="1:124" s="5" customFormat="1" ht="27.95" customHeight="1" x14ac:dyDescent="0.2">
      <c r="B101" s="148" t="s">
        <v>121</v>
      </c>
      <c r="C101" s="161">
        <v>405932</v>
      </c>
      <c r="D101" s="92">
        <v>1</v>
      </c>
      <c r="E101" s="84" t="s">
        <v>108</v>
      </c>
      <c r="F101" s="36" t="s">
        <v>148</v>
      </c>
      <c r="G101" s="37" t="s">
        <v>160</v>
      </c>
      <c r="H101" s="92">
        <v>1990</v>
      </c>
      <c r="I101" s="192" t="s">
        <v>355</v>
      </c>
      <c r="J101" s="35" t="s">
        <v>108</v>
      </c>
      <c r="K101" s="103">
        <v>57.9</v>
      </c>
      <c r="L101" s="38">
        <v>60</v>
      </c>
      <c r="M101" s="39">
        <v>63</v>
      </c>
      <c r="N101" s="39">
        <v>-65</v>
      </c>
      <c r="O101" s="54">
        <f t="shared" ref="O101:O118" si="149">IF(E101="","",IF(MAXA(L101:N101)&lt;=0,0,MAXA(L101:N101)))</f>
        <v>63</v>
      </c>
      <c r="P101" s="53">
        <v>75</v>
      </c>
      <c r="Q101" s="53">
        <v>-77</v>
      </c>
      <c r="R101" s="53">
        <v>-77</v>
      </c>
      <c r="S101" s="54">
        <f t="shared" ref="S101:S118" si="150">IF(E101="","",IF(MAXA(P101:R101)&lt;=0,0,MAXA(P101:R101)))</f>
        <v>75</v>
      </c>
      <c r="T101" s="55">
        <f t="shared" ref="T101:T118" si="151">IF(E101="","",IF(OR(O101=0,S101=0),0,O101+S101))</f>
        <v>138</v>
      </c>
      <c r="U101" s="56" t="str">
        <f t="shared" ref="U101:U118" si="152">+CONCATENATE(AN101," ",AO101)</f>
        <v>FED + 13</v>
      </c>
      <c r="V101" s="86" t="str">
        <f>IF(E101=0," ",IF(E101="H",IF(OR(E101="SEN",H101&lt;1998),VLOOKUP(K101,Minimas!$A$11:$G$29,6),IF(AND(H101&gt;1997,H101&lt;2001),VLOOKUP(K101,Minimas!$A$11:$G$29,5),IF(AND(H101&gt;2000,H101&lt;2003),VLOOKUP(K101,Minimas!$A$11:$G$29,4),IF(AND(H101&gt;2002,H101&lt;2005),VLOOKUP(K101,Minimas!$A$11:$G$29,3),VLOOKUP(K101,Minimas!$A$11:$G$29,2))))),IF(OR(H101="SEN",H101&lt;1998),VLOOKUP(K101,Minimas!$G$11:$L$26,6),IF(AND(H101&gt;1997,H101&lt;2001),VLOOKUP(K101,Minimas!$G$11:$L$26,5),IF(AND(H101&gt;2000,H101&lt;2003),VLOOKUP(K101,Minimas!$G$11:$L$26,4),IF(AND(H101&gt;2002,H101&lt;2005),VLOOKUP(K101,Minimas!$G$11:$L$26,3),VLOOKUP(K101,Minimas!$G$11:$L$26,2)))))))</f>
        <v>FS 58</v>
      </c>
      <c r="W101" s="62">
        <f t="shared" ref="W101:W118" si="153">IF(E101=" "," ",IF(E101="H",10^(0.75194503*LOG(K101/175.508)^2)*T101,IF(E101="F",10^(0.783497476* LOG(K101/153.655)^2)*T101,"")))</f>
        <v>190.82950739388832</v>
      </c>
      <c r="X101" s="63"/>
      <c r="Y101" s="155" t="s">
        <v>441</v>
      </c>
      <c r="AC101" s="90">
        <f>T101-HLOOKUP(V101,Minimas!$C$1:$BN$10,2,FALSE)</f>
        <v>68</v>
      </c>
      <c r="AD101" s="90">
        <f>T101-HLOOKUP(V101,Minimas!$C$1:$BN$10,3,FALSE)</f>
        <v>58</v>
      </c>
      <c r="AE101" s="90">
        <f>T101-HLOOKUP(V101,Minimas!$C$1:$BN$10,4,FALSE)</f>
        <v>48</v>
      </c>
      <c r="AF101" s="90">
        <f>T101-HLOOKUP(V101,Minimas!$C$1:$BN$10,5,FALSE)</f>
        <v>33</v>
      </c>
      <c r="AG101" s="90">
        <f>T101-HLOOKUP(V101,Minimas!$C$1:$BN$10,6,FALSE)</f>
        <v>13</v>
      </c>
      <c r="AH101" s="90">
        <f>T101-HLOOKUP(V101,Minimas!$C$1:$BN$10,7,FALSE)</f>
        <v>-2</v>
      </c>
      <c r="AI101" s="90">
        <f>T101-HLOOKUP(V101,Minimas!$C$1:$BN$10,8,FALSE)</f>
        <v>-22</v>
      </c>
      <c r="AJ101" s="90">
        <f>T101-HLOOKUP(V101,Minimas!$C$1:$BN$10,9,FALSE)</f>
        <v>-42</v>
      </c>
      <c r="AK101" s="90">
        <f>T101-HLOOKUP(V101,Minimas!$C$1:$BN$10,10,FALSE)</f>
        <v>-57</v>
      </c>
      <c r="AL101" s="91" t="str">
        <f t="shared" ref="AL101:AL118" si="154">IF(E101=0," ",IF(AK101&gt;=0,$AK$7,IF(AJ101&gt;=0,$AJ$7,IF(AI101&gt;=0,$AI$7,IF(AH101&gt;=0,$AH$7,IF(AG101&gt;=0,$AG$7,IF(AF101&gt;=0,$AF$7,IF(AE101&gt;=0,$AE$7,IF(AD101&gt;=0,$AD$7,$AC$7)))))))))</f>
        <v>FED +</v>
      </c>
      <c r="AN101" s="5" t="str">
        <f t="shared" ref="AN101:AN118" si="155">IF(AL101="","",AL101)</f>
        <v>FED +</v>
      </c>
      <c r="AO101" s="5">
        <f t="shared" ref="AO101:AO118" si="156">IF(E101=0," ",IF(AK101&gt;=0,AK101,IF(AJ101&gt;=0,AJ101,IF(AI101&gt;=0,AI101,IF(AH101&gt;=0,AH101,IF(AG101&gt;=0,AG101,IF(AF101&gt;=0,AF101,IF(AE101&gt;=0,AE101,IF(AD101&gt;=0,AD101,AC101)))))))))</f>
        <v>13</v>
      </c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</row>
    <row r="102" spans="1:124" s="5" customFormat="1" ht="27.95" customHeight="1" x14ac:dyDescent="0.2">
      <c r="B102" s="148" t="s">
        <v>128</v>
      </c>
      <c r="C102" s="161">
        <v>407343</v>
      </c>
      <c r="D102" s="92">
        <v>2</v>
      </c>
      <c r="E102" s="84" t="s">
        <v>108</v>
      </c>
      <c r="F102" s="36" t="s">
        <v>186</v>
      </c>
      <c r="G102" s="37" t="s">
        <v>187</v>
      </c>
      <c r="H102" s="92">
        <v>1989</v>
      </c>
      <c r="I102" s="192" t="s">
        <v>610</v>
      </c>
      <c r="J102" s="35" t="s">
        <v>108</v>
      </c>
      <c r="K102" s="103">
        <v>58</v>
      </c>
      <c r="L102" s="38">
        <v>59</v>
      </c>
      <c r="M102" s="39">
        <v>62</v>
      </c>
      <c r="N102" s="39">
        <v>-64</v>
      </c>
      <c r="O102" s="54">
        <f t="shared" si="149"/>
        <v>62</v>
      </c>
      <c r="P102" s="53">
        <v>74</v>
      </c>
      <c r="Q102" s="53">
        <v>-78</v>
      </c>
      <c r="R102" s="53">
        <v>-78</v>
      </c>
      <c r="S102" s="54">
        <f t="shared" si="150"/>
        <v>74</v>
      </c>
      <c r="T102" s="55">
        <f t="shared" si="151"/>
        <v>136</v>
      </c>
      <c r="U102" s="56" t="str">
        <f t="shared" si="152"/>
        <v>FED + 11</v>
      </c>
      <c r="V102" s="86" t="str">
        <f>IF(E102=0," ",IF(E102="H",IF(OR(E102="SEN",H102&lt;1998),VLOOKUP(K102,Minimas!$A$11:$G$29,6),IF(AND(H102&gt;1997,H102&lt;2001),VLOOKUP(K102,Minimas!$A$11:$G$29,5),IF(AND(H102&gt;2000,H102&lt;2003),VLOOKUP(K102,Minimas!$A$11:$G$29,4),IF(AND(H102&gt;2002,H102&lt;2005),VLOOKUP(K102,Minimas!$A$11:$G$29,3),VLOOKUP(K102,Minimas!$A$11:$G$29,2))))),IF(OR(H102="SEN",H102&lt;1998),VLOOKUP(K102,Minimas!$G$11:$L$26,6),IF(AND(H102&gt;1997,H102&lt;2001),VLOOKUP(K102,Minimas!$G$11:$L$26,5),IF(AND(H102&gt;2000,H102&lt;2003),VLOOKUP(K102,Minimas!$G$11:$L$26,4),IF(AND(H102&gt;2002,H102&lt;2005),VLOOKUP(K102,Minimas!$G$11:$L$26,3),VLOOKUP(K102,Minimas!$G$11:$L$26,2)))))))</f>
        <v>FS 58</v>
      </c>
      <c r="W102" s="62">
        <f t="shared" si="153"/>
        <v>187.84862500758712</v>
      </c>
      <c r="X102" s="63"/>
      <c r="Y102" s="155" t="s">
        <v>441</v>
      </c>
      <c r="AC102" s="90">
        <f>T102-HLOOKUP(V102,Minimas!$C$1:$BN$10,2,FALSE)</f>
        <v>66</v>
      </c>
      <c r="AD102" s="90">
        <f>T102-HLOOKUP(V102,Minimas!$C$1:$BN$10,3,FALSE)</f>
        <v>56</v>
      </c>
      <c r="AE102" s="90">
        <f>T102-HLOOKUP(V102,Minimas!$C$1:$BN$10,4,FALSE)</f>
        <v>46</v>
      </c>
      <c r="AF102" s="90">
        <f>T102-HLOOKUP(V102,Minimas!$C$1:$BN$10,5,FALSE)</f>
        <v>31</v>
      </c>
      <c r="AG102" s="90">
        <f>T102-HLOOKUP(V102,Minimas!$C$1:$BN$10,6,FALSE)</f>
        <v>11</v>
      </c>
      <c r="AH102" s="90">
        <f>T102-HLOOKUP(V102,Minimas!$C$1:$BN$10,7,FALSE)</f>
        <v>-4</v>
      </c>
      <c r="AI102" s="90">
        <f>T102-HLOOKUP(V102,Minimas!$C$1:$BN$10,8,FALSE)</f>
        <v>-24</v>
      </c>
      <c r="AJ102" s="90">
        <f>T102-HLOOKUP(V102,Minimas!$C$1:$BN$10,9,FALSE)</f>
        <v>-44</v>
      </c>
      <c r="AK102" s="90">
        <f>T102-HLOOKUP(V102,Minimas!$C$1:$BN$10,10,FALSE)</f>
        <v>-59</v>
      </c>
      <c r="AL102" s="91" t="str">
        <f t="shared" si="154"/>
        <v>FED +</v>
      </c>
      <c r="AN102" s="5" t="str">
        <f t="shared" si="155"/>
        <v>FED +</v>
      </c>
      <c r="AO102" s="5">
        <f t="shared" si="156"/>
        <v>11</v>
      </c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</row>
    <row r="103" spans="1:124" s="5" customFormat="1" ht="27.95" customHeight="1" x14ac:dyDescent="0.2">
      <c r="B103" s="148" t="s">
        <v>121</v>
      </c>
      <c r="C103" s="161">
        <v>414500</v>
      </c>
      <c r="D103" s="92">
        <v>3</v>
      </c>
      <c r="E103" s="84" t="s">
        <v>108</v>
      </c>
      <c r="F103" s="36" t="s">
        <v>202</v>
      </c>
      <c r="G103" s="37" t="s">
        <v>359</v>
      </c>
      <c r="H103" s="92">
        <v>1988</v>
      </c>
      <c r="I103" s="192" t="s">
        <v>561</v>
      </c>
      <c r="J103" s="35" t="s">
        <v>203</v>
      </c>
      <c r="K103" s="103">
        <v>57.9</v>
      </c>
      <c r="L103" s="38">
        <v>56</v>
      </c>
      <c r="M103" s="39">
        <v>60</v>
      </c>
      <c r="N103" s="39">
        <v>-63</v>
      </c>
      <c r="O103" s="54">
        <f t="shared" si="149"/>
        <v>60</v>
      </c>
      <c r="P103" s="53">
        <v>70</v>
      </c>
      <c r="Q103" s="53">
        <v>75</v>
      </c>
      <c r="R103" s="53">
        <v>-80</v>
      </c>
      <c r="S103" s="54">
        <f t="shared" si="150"/>
        <v>75</v>
      </c>
      <c r="T103" s="55">
        <f t="shared" si="151"/>
        <v>135</v>
      </c>
      <c r="U103" s="56" t="str">
        <f t="shared" si="152"/>
        <v>FED + 10</v>
      </c>
      <c r="V103" s="86" t="str">
        <f>IF(E103=0," ",IF(E103="H",IF(OR(E103="SEN",H103&lt;1998),VLOOKUP(K103,Minimas!$A$11:$G$29,6),IF(AND(H103&gt;1997,H103&lt;2001),VLOOKUP(K103,Minimas!$A$11:$G$29,5),IF(AND(H103&gt;2000,H103&lt;2003),VLOOKUP(K103,Minimas!$A$11:$G$29,4),IF(AND(H103&gt;2002,H103&lt;2005),VLOOKUP(K103,Minimas!$A$11:$G$29,3),VLOOKUP(K103,Minimas!$A$11:$G$29,2))))),IF(OR(H103="SEN",H103&lt;1998),VLOOKUP(K103,Minimas!$G$11:$L$26,6),IF(AND(H103&gt;1997,H103&lt;2001),VLOOKUP(K103,Minimas!$G$11:$L$26,5),IF(AND(H103&gt;2000,H103&lt;2003),VLOOKUP(K103,Minimas!$G$11:$L$26,4),IF(AND(H103&gt;2002,H103&lt;2005),VLOOKUP(K103,Minimas!$G$11:$L$26,3),VLOOKUP(K103,Minimas!$G$11:$L$26,2)))))))</f>
        <v>FS 58</v>
      </c>
      <c r="W103" s="62">
        <f t="shared" si="153"/>
        <v>186.68103984184725</v>
      </c>
      <c r="X103" s="63"/>
      <c r="Y103" s="155" t="s">
        <v>441</v>
      </c>
      <c r="AC103" s="90">
        <f>T103-HLOOKUP(V103,Minimas!$C$1:$BN$10,2,FALSE)</f>
        <v>65</v>
      </c>
      <c r="AD103" s="90">
        <f>T103-HLOOKUP(V103,Minimas!$C$1:$BN$10,3,FALSE)</f>
        <v>55</v>
      </c>
      <c r="AE103" s="90">
        <f>T103-HLOOKUP(V103,Minimas!$C$1:$BN$10,4,FALSE)</f>
        <v>45</v>
      </c>
      <c r="AF103" s="90">
        <f>T103-HLOOKUP(V103,Minimas!$C$1:$BN$10,5,FALSE)</f>
        <v>30</v>
      </c>
      <c r="AG103" s="90">
        <f>T103-HLOOKUP(V103,Minimas!$C$1:$BN$10,6,FALSE)</f>
        <v>10</v>
      </c>
      <c r="AH103" s="90">
        <f>T103-HLOOKUP(V103,Minimas!$C$1:$BN$10,7,FALSE)</f>
        <v>-5</v>
      </c>
      <c r="AI103" s="90">
        <f>T103-HLOOKUP(V103,Minimas!$C$1:$BN$10,8,FALSE)</f>
        <v>-25</v>
      </c>
      <c r="AJ103" s="90">
        <f>T103-HLOOKUP(V103,Minimas!$C$1:$BN$10,9,FALSE)</f>
        <v>-45</v>
      </c>
      <c r="AK103" s="90">
        <f>T103-HLOOKUP(V103,Minimas!$C$1:$BN$10,10,FALSE)</f>
        <v>-60</v>
      </c>
      <c r="AL103" s="91" t="str">
        <f t="shared" si="154"/>
        <v>FED +</v>
      </c>
      <c r="AN103" s="5" t="str">
        <f t="shared" si="155"/>
        <v>FED +</v>
      </c>
      <c r="AO103" s="5">
        <f t="shared" si="156"/>
        <v>10</v>
      </c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</row>
    <row r="104" spans="1:124" s="5" customFormat="1" ht="27.95" customHeight="1" x14ac:dyDescent="0.2">
      <c r="B104" s="148" t="s">
        <v>121</v>
      </c>
      <c r="C104" s="161">
        <v>433902</v>
      </c>
      <c r="D104" s="92">
        <v>4</v>
      </c>
      <c r="E104" s="84" t="s">
        <v>108</v>
      </c>
      <c r="F104" s="36" t="s">
        <v>183</v>
      </c>
      <c r="G104" s="37" t="s">
        <v>171</v>
      </c>
      <c r="H104" s="92">
        <v>1993</v>
      </c>
      <c r="I104" s="192" t="s">
        <v>611</v>
      </c>
      <c r="J104" s="35" t="s">
        <v>108</v>
      </c>
      <c r="K104" s="103">
        <v>55.84</v>
      </c>
      <c r="L104" s="38">
        <v>50</v>
      </c>
      <c r="M104" s="39">
        <v>55</v>
      </c>
      <c r="N104" s="39">
        <v>61</v>
      </c>
      <c r="O104" s="54">
        <f t="shared" si="149"/>
        <v>61</v>
      </c>
      <c r="P104" s="53">
        <v>67</v>
      </c>
      <c r="Q104" s="53">
        <v>-71</v>
      </c>
      <c r="R104" s="53">
        <v>72</v>
      </c>
      <c r="S104" s="54">
        <f t="shared" si="150"/>
        <v>72</v>
      </c>
      <c r="T104" s="55">
        <f t="shared" si="151"/>
        <v>133</v>
      </c>
      <c r="U104" s="56" t="str">
        <f t="shared" si="152"/>
        <v>FED + 8</v>
      </c>
      <c r="V104" s="86" t="str">
        <f>IF(E104=0," ",IF(E104="H",IF(OR(E104="SEN",H104&lt;1998),VLOOKUP(K104,Minimas!$A$11:$G$29,6),IF(AND(H104&gt;1997,H104&lt;2001),VLOOKUP(K104,Minimas!$A$11:$G$29,5),IF(AND(H104&gt;2000,H104&lt;2003),VLOOKUP(K104,Minimas!$A$11:$G$29,4),IF(AND(H104&gt;2002,H104&lt;2005),VLOOKUP(K104,Minimas!$A$11:$G$29,3),VLOOKUP(K104,Minimas!$A$11:$G$29,2))))),IF(OR(H104="SEN",H104&lt;1998),VLOOKUP(K104,Minimas!$G$11:$L$26,6),IF(AND(H104&gt;1997,H104&lt;2001),VLOOKUP(K104,Minimas!$G$11:$L$26,5),IF(AND(H104&gt;2000,H104&lt;2003),VLOOKUP(K104,Minimas!$G$11:$L$26,4),IF(AND(H104&gt;2002,H104&lt;2005),VLOOKUP(K104,Minimas!$G$11:$L$26,3),VLOOKUP(K104,Minimas!$G$11:$L$26,2)))))))</f>
        <v>FS 58</v>
      </c>
      <c r="W104" s="62">
        <f t="shared" si="153"/>
        <v>188.47856794129783</v>
      </c>
      <c r="X104" s="63"/>
      <c r="Y104" s="157" t="s">
        <v>131</v>
      </c>
      <c r="AC104" s="90">
        <f>T104-HLOOKUP(V104,Minimas!$C$1:$BN$10,2,FALSE)</f>
        <v>63</v>
      </c>
      <c r="AD104" s="90">
        <f>T104-HLOOKUP(V104,Minimas!$C$1:$BN$10,3,FALSE)</f>
        <v>53</v>
      </c>
      <c r="AE104" s="90">
        <f>T104-HLOOKUP(V104,Minimas!$C$1:$BN$10,4,FALSE)</f>
        <v>43</v>
      </c>
      <c r="AF104" s="90">
        <f>T104-HLOOKUP(V104,Minimas!$C$1:$BN$10,5,FALSE)</f>
        <v>28</v>
      </c>
      <c r="AG104" s="90">
        <f>T104-HLOOKUP(V104,Minimas!$C$1:$BN$10,6,FALSE)</f>
        <v>8</v>
      </c>
      <c r="AH104" s="90">
        <f>T104-HLOOKUP(V104,Minimas!$C$1:$BN$10,7,FALSE)</f>
        <v>-7</v>
      </c>
      <c r="AI104" s="90">
        <f>T104-HLOOKUP(V104,Minimas!$C$1:$BN$10,8,FALSE)</f>
        <v>-27</v>
      </c>
      <c r="AJ104" s="90">
        <f>T104-HLOOKUP(V104,Minimas!$C$1:$BN$10,9,FALSE)</f>
        <v>-47</v>
      </c>
      <c r="AK104" s="90">
        <f>T104-HLOOKUP(V104,Minimas!$C$1:$BN$10,10,FALSE)</f>
        <v>-62</v>
      </c>
      <c r="AL104" s="91" t="str">
        <f t="shared" si="154"/>
        <v>FED +</v>
      </c>
      <c r="AN104" s="5" t="str">
        <f t="shared" si="155"/>
        <v>FED +</v>
      </c>
      <c r="AO104" s="5">
        <f t="shared" si="156"/>
        <v>8</v>
      </c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</row>
    <row r="105" spans="1:124" s="5" customFormat="1" ht="27.95" customHeight="1" x14ac:dyDescent="0.2">
      <c r="B105" s="148" t="s">
        <v>120</v>
      </c>
      <c r="C105" s="161">
        <v>417867</v>
      </c>
      <c r="D105" s="92">
        <v>5</v>
      </c>
      <c r="E105" s="84" t="s">
        <v>108</v>
      </c>
      <c r="F105" s="36" t="s">
        <v>463</v>
      </c>
      <c r="G105" s="37" t="s">
        <v>464</v>
      </c>
      <c r="H105" s="92">
        <v>1990</v>
      </c>
      <c r="I105" s="192" t="s">
        <v>137</v>
      </c>
      <c r="J105" s="35" t="s">
        <v>108</v>
      </c>
      <c r="K105" s="103">
        <v>58</v>
      </c>
      <c r="L105" s="38">
        <v>50</v>
      </c>
      <c r="M105" s="39">
        <v>53</v>
      </c>
      <c r="N105" s="39">
        <v>56</v>
      </c>
      <c r="O105" s="54">
        <f t="shared" si="149"/>
        <v>56</v>
      </c>
      <c r="P105" s="53">
        <v>69</v>
      </c>
      <c r="Q105" s="53">
        <v>72</v>
      </c>
      <c r="R105" s="53">
        <v>76</v>
      </c>
      <c r="S105" s="54">
        <f t="shared" si="150"/>
        <v>76</v>
      </c>
      <c r="T105" s="55">
        <f t="shared" si="151"/>
        <v>132</v>
      </c>
      <c r="U105" s="56" t="str">
        <f t="shared" si="152"/>
        <v>FED + 7</v>
      </c>
      <c r="V105" s="86" t="str">
        <f>IF(E105=0," ",IF(E105="H",IF(OR(E105="SEN",H105&lt;1998),VLOOKUP(K105,Minimas!$A$11:$G$29,6),IF(AND(H105&gt;1997,H105&lt;2001),VLOOKUP(K105,Minimas!$A$11:$G$29,5),IF(AND(H105&gt;2000,H105&lt;2003),VLOOKUP(K105,Minimas!$A$11:$G$29,4),IF(AND(H105&gt;2002,H105&lt;2005),VLOOKUP(K105,Minimas!$A$11:$G$29,3),VLOOKUP(K105,Minimas!$A$11:$G$29,2))))),IF(OR(H105="SEN",H105&lt;1998),VLOOKUP(K105,Minimas!$G$11:$L$26,6),IF(AND(H105&gt;1997,H105&lt;2001),VLOOKUP(K105,Minimas!$G$11:$L$26,5),IF(AND(H105&gt;2000,H105&lt;2003),VLOOKUP(K105,Minimas!$G$11:$L$26,4),IF(AND(H105&gt;2002,H105&lt;2005),VLOOKUP(K105,Minimas!$G$11:$L$26,3),VLOOKUP(K105,Minimas!$G$11:$L$26,2)))))))</f>
        <v>FS 58</v>
      </c>
      <c r="W105" s="62">
        <f t="shared" si="153"/>
        <v>182.32366544854045</v>
      </c>
      <c r="X105" s="63"/>
      <c r="Y105" s="155" t="s">
        <v>441</v>
      </c>
      <c r="AC105" s="90">
        <f>T105-HLOOKUP(V105,Minimas!$C$1:$BN$10,2,FALSE)</f>
        <v>62</v>
      </c>
      <c r="AD105" s="90">
        <f>T105-HLOOKUP(V105,Minimas!$C$1:$BN$10,3,FALSE)</f>
        <v>52</v>
      </c>
      <c r="AE105" s="90">
        <f>T105-HLOOKUP(V105,Minimas!$C$1:$BN$10,4,FALSE)</f>
        <v>42</v>
      </c>
      <c r="AF105" s="90">
        <f>T105-HLOOKUP(V105,Minimas!$C$1:$BN$10,5,FALSE)</f>
        <v>27</v>
      </c>
      <c r="AG105" s="90">
        <f>T105-HLOOKUP(V105,Minimas!$C$1:$BN$10,6,FALSE)</f>
        <v>7</v>
      </c>
      <c r="AH105" s="90">
        <f>T105-HLOOKUP(V105,Minimas!$C$1:$BN$10,7,FALSE)</f>
        <v>-8</v>
      </c>
      <c r="AI105" s="90">
        <f>T105-HLOOKUP(V105,Minimas!$C$1:$BN$10,8,FALSE)</f>
        <v>-28</v>
      </c>
      <c r="AJ105" s="90">
        <f>T105-HLOOKUP(V105,Minimas!$C$1:$BN$10,9,FALSE)</f>
        <v>-48</v>
      </c>
      <c r="AK105" s="90">
        <f>T105-HLOOKUP(V105,Minimas!$C$1:$BN$10,10,FALSE)</f>
        <v>-63</v>
      </c>
      <c r="AL105" s="91" t="str">
        <f t="shared" si="154"/>
        <v>FED +</v>
      </c>
      <c r="AN105" s="5" t="str">
        <f t="shared" si="155"/>
        <v>FED +</v>
      </c>
      <c r="AO105" s="5">
        <f t="shared" si="156"/>
        <v>7</v>
      </c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</row>
    <row r="106" spans="1:124" s="5" customFormat="1" ht="27.95" customHeight="1" x14ac:dyDescent="0.2">
      <c r="B106" s="148" t="s">
        <v>120</v>
      </c>
      <c r="C106" s="161">
        <v>140592</v>
      </c>
      <c r="D106" s="92">
        <v>6</v>
      </c>
      <c r="E106" s="84" t="s">
        <v>108</v>
      </c>
      <c r="F106" s="36" t="s">
        <v>184</v>
      </c>
      <c r="G106" s="37" t="s">
        <v>185</v>
      </c>
      <c r="H106" s="92">
        <v>1995</v>
      </c>
      <c r="I106" s="192" t="s">
        <v>135</v>
      </c>
      <c r="J106" s="35" t="s">
        <v>108</v>
      </c>
      <c r="K106" s="103">
        <v>56.3</v>
      </c>
      <c r="L106" s="38">
        <v>-57</v>
      </c>
      <c r="M106" s="39">
        <v>57</v>
      </c>
      <c r="N106" s="39">
        <v>-60</v>
      </c>
      <c r="O106" s="54">
        <f t="shared" si="149"/>
        <v>57</v>
      </c>
      <c r="P106" s="53">
        <v>71</v>
      </c>
      <c r="Q106" s="53">
        <v>74</v>
      </c>
      <c r="R106" s="53">
        <v>-76</v>
      </c>
      <c r="S106" s="54">
        <f t="shared" si="150"/>
        <v>74</v>
      </c>
      <c r="T106" s="55">
        <f t="shared" si="151"/>
        <v>131</v>
      </c>
      <c r="U106" s="56" t="str">
        <f t="shared" si="152"/>
        <v>FED + 6</v>
      </c>
      <c r="V106" s="86" t="str">
        <f>IF(E106=0," ",IF(E106="H",IF(OR(E106="SEN",H106&lt;1998),VLOOKUP(K106,Minimas!$A$11:$G$29,6),IF(AND(H106&gt;1997,H106&lt;2001),VLOOKUP(K106,Minimas!$A$11:$G$29,5),IF(AND(H106&gt;2000,H106&lt;2003),VLOOKUP(K106,Minimas!$A$11:$G$29,4),IF(AND(H106&gt;2002,H106&lt;2005),VLOOKUP(K106,Minimas!$A$11:$G$29,3),VLOOKUP(K106,Minimas!$A$11:$G$29,2))))),IF(OR(H106="SEN",H106&lt;1998),VLOOKUP(K106,Minimas!$G$11:$L$26,6),IF(AND(H106&gt;1997,H106&lt;2001),VLOOKUP(K106,Minimas!$G$11:$L$26,5),IF(AND(H106&gt;2000,H106&lt;2003),VLOOKUP(K106,Minimas!$G$11:$L$26,4),IF(AND(H106&gt;2002,H106&lt;2005),VLOOKUP(K106,Minimas!$G$11:$L$26,3),VLOOKUP(K106,Minimas!$G$11:$L$26,2)))))))</f>
        <v>FS 58</v>
      </c>
      <c r="W106" s="62">
        <f t="shared" si="153"/>
        <v>184.60233982027322</v>
      </c>
      <c r="X106" s="63"/>
      <c r="Y106" s="157" t="s">
        <v>131</v>
      </c>
      <c r="AC106" s="90">
        <f>T106-HLOOKUP(V106,Minimas!$C$1:$BN$10,2,FALSE)</f>
        <v>61</v>
      </c>
      <c r="AD106" s="90">
        <f>T106-HLOOKUP(V106,Minimas!$C$1:$BN$10,3,FALSE)</f>
        <v>51</v>
      </c>
      <c r="AE106" s="90">
        <f>T106-HLOOKUP(V106,Minimas!$C$1:$BN$10,4,FALSE)</f>
        <v>41</v>
      </c>
      <c r="AF106" s="90">
        <f>T106-HLOOKUP(V106,Minimas!$C$1:$BN$10,5,FALSE)</f>
        <v>26</v>
      </c>
      <c r="AG106" s="90">
        <f>T106-HLOOKUP(V106,Minimas!$C$1:$BN$10,6,FALSE)</f>
        <v>6</v>
      </c>
      <c r="AH106" s="90">
        <f>T106-HLOOKUP(V106,Minimas!$C$1:$BN$10,7,FALSE)</f>
        <v>-9</v>
      </c>
      <c r="AI106" s="90">
        <f>T106-HLOOKUP(V106,Minimas!$C$1:$BN$10,8,FALSE)</f>
        <v>-29</v>
      </c>
      <c r="AJ106" s="90">
        <f>T106-HLOOKUP(V106,Minimas!$C$1:$BN$10,9,FALSE)</f>
        <v>-49</v>
      </c>
      <c r="AK106" s="90">
        <f>T106-HLOOKUP(V106,Minimas!$C$1:$BN$10,10,FALSE)</f>
        <v>-64</v>
      </c>
      <c r="AL106" s="91" t="str">
        <f t="shared" si="154"/>
        <v>FED +</v>
      </c>
      <c r="AN106" s="5" t="str">
        <f t="shared" si="155"/>
        <v>FED +</v>
      </c>
      <c r="AO106" s="5">
        <f t="shared" si="156"/>
        <v>6</v>
      </c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</row>
    <row r="107" spans="1:124" s="5" customFormat="1" ht="27.95" customHeight="1" x14ac:dyDescent="0.2">
      <c r="B107" s="148" t="s">
        <v>340</v>
      </c>
      <c r="C107" s="161">
        <v>326408</v>
      </c>
      <c r="D107" s="92">
        <v>7</v>
      </c>
      <c r="E107" s="84" t="s">
        <v>108</v>
      </c>
      <c r="F107" s="36" t="s">
        <v>356</v>
      </c>
      <c r="G107" s="37" t="s">
        <v>171</v>
      </c>
      <c r="H107" s="92">
        <v>1993</v>
      </c>
      <c r="I107" s="192" t="s">
        <v>557</v>
      </c>
      <c r="J107" s="35" t="s">
        <v>108</v>
      </c>
      <c r="K107" s="103">
        <v>58</v>
      </c>
      <c r="L107" s="38">
        <v>53</v>
      </c>
      <c r="M107" s="39">
        <v>57</v>
      </c>
      <c r="N107" s="39">
        <v>59</v>
      </c>
      <c r="O107" s="54">
        <f t="shared" si="149"/>
        <v>59</v>
      </c>
      <c r="P107" s="53">
        <v>68</v>
      </c>
      <c r="Q107" s="53">
        <v>71</v>
      </c>
      <c r="R107" s="53">
        <v>-74</v>
      </c>
      <c r="S107" s="54">
        <f t="shared" si="150"/>
        <v>71</v>
      </c>
      <c r="T107" s="55">
        <f t="shared" si="151"/>
        <v>130</v>
      </c>
      <c r="U107" s="56" t="str">
        <f t="shared" si="152"/>
        <v>FED + 5</v>
      </c>
      <c r="V107" s="86" t="str">
        <f>IF(E107=0," ",IF(E107="H",IF(OR(E107="SEN",H107&lt;1998),VLOOKUP(K107,Minimas!$A$11:$G$29,6),IF(AND(H107&gt;1997,H107&lt;2001),VLOOKUP(K107,Minimas!$A$11:$G$29,5),IF(AND(H107&gt;2000,H107&lt;2003),VLOOKUP(K107,Minimas!$A$11:$G$29,4),IF(AND(H107&gt;2002,H107&lt;2005),VLOOKUP(K107,Minimas!$A$11:$G$29,3),VLOOKUP(K107,Minimas!$A$11:$G$29,2))))),IF(OR(H107="SEN",H107&lt;1998),VLOOKUP(K107,Minimas!$G$11:$L$26,6),IF(AND(H107&gt;1997,H107&lt;2001),VLOOKUP(K107,Minimas!$G$11:$L$26,5),IF(AND(H107&gt;2000,H107&lt;2003),VLOOKUP(K107,Minimas!$G$11:$L$26,4),IF(AND(H107&gt;2002,H107&lt;2005),VLOOKUP(K107,Minimas!$G$11:$L$26,3),VLOOKUP(K107,Minimas!$G$11:$L$26,2)))))))</f>
        <v>FS 58</v>
      </c>
      <c r="W107" s="62">
        <f t="shared" si="153"/>
        <v>179.56118566901711</v>
      </c>
      <c r="X107" s="63"/>
      <c r="Y107" s="156" t="s">
        <v>319</v>
      </c>
      <c r="AC107" s="90">
        <f>T107-HLOOKUP(V107,Minimas!$C$1:$BN$10,2,FALSE)</f>
        <v>60</v>
      </c>
      <c r="AD107" s="90">
        <f>T107-HLOOKUP(V107,Minimas!$C$1:$BN$10,3,FALSE)</f>
        <v>50</v>
      </c>
      <c r="AE107" s="90">
        <f>T107-HLOOKUP(V107,Minimas!$C$1:$BN$10,4,FALSE)</f>
        <v>40</v>
      </c>
      <c r="AF107" s="90">
        <f>T107-HLOOKUP(V107,Minimas!$C$1:$BN$10,5,FALSE)</f>
        <v>25</v>
      </c>
      <c r="AG107" s="90">
        <f>T107-HLOOKUP(V107,Minimas!$C$1:$BN$10,6,FALSE)</f>
        <v>5</v>
      </c>
      <c r="AH107" s="90">
        <f>T107-HLOOKUP(V107,Minimas!$C$1:$BN$10,7,FALSE)</f>
        <v>-10</v>
      </c>
      <c r="AI107" s="90">
        <f>T107-HLOOKUP(V107,Minimas!$C$1:$BN$10,8,FALSE)</f>
        <v>-30</v>
      </c>
      <c r="AJ107" s="90">
        <f>T107-HLOOKUP(V107,Minimas!$C$1:$BN$10,9,FALSE)</f>
        <v>-50</v>
      </c>
      <c r="AK107" s="90">
        <f>T107-HLOOKUP(V107,Minimas!$C$1:$BN$10,10,FALSE)</f>
        <v>-65</v>
      </c>
      <c r="AL107" s="91" t="str">
        <f t="shared" si="154"/>
        <v>FED +</v>
      </c>
      <c r="AN107" s="5" t="str">
        <f t="shared" si="155"/>
        <v>FED +</v>
      </c>
      <c r="AO107" s="5">
        <f t="shared" si="156"/>
        <v>5</v>
      </c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</row>
    <row r="108" spans="1:124" s="5" customFormat="1" ht="27.95" customHeight="1" x14ac:dyDescent="0.2">
      <c r="B108" s="148" t="s">
        <v>314</v>
      </c>
      <c r="C108" s="161">
        <v>422825</v>
      </c>
      <c r="D108" s="92">
        <v>8</v>
      </c>
      <c r="E108" s="84" t="s">
        <v>108</v>
      </c>
      <c r="F108" s="36" t="s">
        <v>465</v>
      </c>
      <c r="G108" s="37" t="s">
        <v>581</v>
      </c>
      <c r="H108" s="92">
        <v>1990</v>
      </c>
      <c r="I108" s="192" t="s">
        <v>612</v>
      </c>
      <c r="J108" s="35" t="s">
        <v>108</v>
      </c>
      <c r="K108" s="103">
        <v>57.7</v>
      </c>
      <c r="L108" s="38">
        <v>55</v>
      </c>
      <c r="M108" s="39">
        <v>57</v>
      </c>
      <c r="N108" s="39">
        <v>59</v>
      </c>
      <c r="O108" s="54">
        <f t="shared" si="149"/>
        <v>59</v>
      </c>
      <c r="P108" s="53">
        <v>68</v>
      </c>
      <c r="Q108" s="53">
        <v>-71</v>
      </c>
      <c r="R108" s="53">
        <v>71</v>
      </c>
      <c r="S108" s="54">
        <f t="shared" si="150"/>
        <v>71</v>
      </c>
      <c r="T108" s="55">
        <f t="shared" si="151"/>
        <v>130</v>
      </c>
      <c r="U108" s="56" t="str">
        <f t="shared" si="152"/>
        <v>FED + 5</v>
      </c>
      <c r="V108" s="86" t="str">
        <f>IF(E108=0," ",IF(E108="H",IF(OR(E108="SEN",H108&lt;1998),VLOOKUP(K108,Minimas!$A$11:$G$29,6),IF(AND(H108&gt;1997,H108&lt;2001),VLOOKUP(K108,Minimas!$A$11:$G$29,5),IF(AND(H108&gt;2000,H108&lt;2003),VLOOKUP(K108,Minimas!$A$11:$G$29,4),IF(AND(H108&gt;2002,H108&lt;2005),VLOOKUP(K108,Minimas!$A$11:$G$29,3),VLOOKUP(K108,Minimas!$A$11:$G$29,2))))),IF(OR(H108="SEN",H108&lt;1998),VLOOKUP(K108,Minimas!$G$11:$L$26,6),IF(AND(H108&gt;1997,H108&lt;2001),VLOOKUP(K108,Minimas!$G$11:$L$26,5),IF(AND(H108&gt;2000,H108&lt;2003),VLOOKUP(K108,Minimas!$G$11:$L$26,4),IF(AND(H108&gt;2002,H108&lt;2005),VLOOKUP(K108,Minimas!$G$11:$L$26,3),VLOOKUP(K108,Minimas!$G$11:$L$26,2)))))))</f>
        <v>FS 58</v>
      </c>
      <c r="W108" s="62">
        <f t="shared" si="153"/>
        <v>180.18128930210872</v>
      </c>
      <c r="X108" s="63"/>
      <c r="Y108" s="155" t="s">
        <v>441</v>
      </c>
      <c r="AC108" s="90">
        <f>T108-HLOOKUP(V108,Minimas!$C$1:$BN$10,2,FALSE)</f>
        <v>60</v>
      </c>
      <c r="AD108" s="90">
        <f>T108-HLOOKUP(V108,Minimas!$C$1:$BN$10,3,FALSE)</f>
        <v>50</v>
      </c>
      <c r="AE108" s="90">
        <f>T108-HLOOKUP(V108,Minimas!$C$1:$BN$10,4,FALSE)</f>
        <v>40</v>
      </c>
      <c r="AF108" s="90">
        <f>T108-HLOOKUP(V108,Minimas!$C$1:$BN$10,5,FALSE)</f>
        <v>25</v>
      </c>
      <c r="AG108" s="90">
        <f>T108-HLOOKUP(V108,Minimas!$C$1:$BN$10,6,FALSE)</f>
        <v>5</v>
      </c>
      <c r="AH108" s="90">
        <f>T108-HLOOKUP(V108,Minimas!$C$1:$BN$10,7,FALSE)</f>
        <v>-10</v>
      </c>
      <c r="AI108" s="90">
        <f>T108-HLOOKUP(V108,Minimas!$C$1:$BN$10,8,FALSE)</f>
        <v>-30</v>
      </c>
      <c r="AJ108" s="90">
        <f>T108-HLOOKUP(V108,Minimas!$C$1:$BN$10,9,FALSE)</f>
        <v>-50</v>
      </c>
      <c r="AK108" s="90">
        <f>T108-HLOOKUP(V108,Minimas!$C$1:$BN$10,10,FALSE)</f>
        <v>-65</v>
      </c>
      <c r="AL108" s="91" t="str">
        <f t="shared" si="154"/>
        <v>FED +</v>
      </c>
      <c r="AN108" s="5" t="str">
        <f t="shared" si="155"/>
        <v>FED +</v>
      </c>
      <c r="AO108" s="5">
        <f t="shared" si="156"/>
        <v>5</v>
      </c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</row>
    <row r="109" spans="1:124" s="5" customFormat="1" ht="27.95" customHeight="1" x14ac:dyDescent="0.2">
      <c r="B109" s="148" t="s">
        <v>121</v>
      </c>
      <c r="C109" s="161">
        <v>431354</v>
      </c>
      <c r="D109" s="92">
        <v>9</v>
      </c>
      <c r="E109" s="84" t="s">
        <v>108</v>
      </c>
      <c r="F109" s="36" t="s">
        <v>188</v>
      </c>
      <c r="G109" s="37" t="s">
        <v>639</v>
      </c>
      <c r="H109" s="92">
        <v>1997</v>
      </c>
      <c r="I109" s="192" t="s">
        <v>613</v>
      </c>
      <c r="J109" s="35" t="s">
        <v>108</v>
      </c>
      <c r="K109" s="103">
        <v>57.85</v>
      </c>
      <c r="L109" s="38">
        <v>54</v>
      </c>
      <c r="M109" s="39">
        <v>57</v>
      </c>
      <c r="N109" s="39">
        <v>59</v>
      </c>
      <c r="O109" s="54">
        <f t="shared" si="149"/>
        <v>59</v>
      </c>
      <c r="P109" s="53">
        <v>66</v>
      </c>
      <c r="Q109" s="53">
        <v>70</v>
      </c>
      <c r="R109" s="53">
        <v>-72</v>
      </c>
      <c r="S109" s="54">
        <f t="shared" si="150"/>
        <v>70</v>
      </c>
      <c r="T109" s="55">
        <f t="shared" si="151"/>
        <v>129</v>
      </c>
      <c r="U109" s="56" t="str">
        <f t="shared" si="152"/>
        <v>FED + 4</v>
      </c>
      <c r="V109" s="86" t="str">
        <f>IF(E109=0," ",IF(E109="H",IF(OR(E109="SEN",H109&lt;1998),VLOOKUP(K109,Minimas!$A$11:$G$29,6),IF(AND(H109&gt;1997,H109&lt;2001),VLOOKUP(K109,Minimas!$A$11:$G$29,5),IF(AND(H109&gt;2000,H109&lt;2003),VLOOKUP(K109,Minimas!$A$11:$G$29,4),IF(AND(H109&gt;2002,H109&lt;2005),VLOOKUP(K109,Minimas!$A$11:$G$29,3),VLOOKUP(K109,Minimas!$A$11:$G$29,2))))),IF(OR(H109="SEN",H109&lt;1998),VLOOKUP(K109,Minimas!$G$11:$L$26,6),IF(AND(H109&gt;1997,H109&lt;2001),VLOOKUP(K109,Minimas!$G$11:$L$26,5),IF(AND(H109&gt;2000,H109&lt;2003),VLOOKUP(K109,Minimas!$G$11:$L$26,4),IF(AND(H109&gt;2002,H109&lt;2005),VLOOKUP(K109,Minimas!$G$11:$L$26,3),VLOOKUP(K109,Minimas!$G$11:$L$26,2)))))))</f>
        <v>FS 58</v>
      </c>
      <c r="W109" s="62">
        <f t="shared" si="153"/>
        <v>178.48654021198894</v>
      </c>
      <c r="X109" s="63"/>
      <c r="Y109" s="157" t="s">
        <v>131</v>
      </c>
      <c r="AC109" s="90">
        <f>T109-HLOOKUP(V109,Minimas!$C$1:$BN$10,2,FALSE)</f>
        <v>59</v>
      </c>
      <c r="AD109" s="90">
        <f>T109-HLOOKUP(V109,Minimas!$C$1:$BN$10,3,FALSE)</f>
        <v>49</v>
      </c>
      <c r="AE109" s="90">
        <f>T109-HLOOKUP(V109,Minimas!$C$1:$BN$10,4,FALSE)</f>
        <v>39</v>
      </c>
      <c r="AF109" s="90">
        <f>T109-HLOOKUP(V109,Minimas!$C$1:$BN$10,5,FALSE)</f>
        <v>24</v>
      </c>
      <c r="AG109" s="90">
        <f>T109-HLOOKUP(V109,Minimas!$C$1:$BN$10,6,FALSE)</f>
        <v>4</v>
      </c>
      <c r="AH109" s="90">
        <f>T109-HLOOKUP(V109,Minimas!$C$1:$BN$10,7,FALSE)</f>
        <v>-11</v>
      </c>
      <c r="AI109" s="90">
        <f>T109-HLOOKUP(V109,Minimas!$C$1:$BN$10,8,FALSE)</f>
        <v>-31</v>
      </c>
      <c r="AJ109" s="90">
        <f>T109-HLOOKUP(V109,Minimas!$C$1:$BN$10,9,FALSE)</f>
        <v>-51</v>
      </c>
      <c r="AK109" s="90">
        <f>T109-HLOOKUP(V109,Minimas!$C$1:$BN$10,10,FALSE)</f>
        <v>-66</v>
      </c>
      <c r="AL109" s="91" t="str">
        <f t="shared" si="154"/>
        <v>FED +</v>
      </c>
      <c r="AN109" s="5" t="str">
        <f t="shared" si="155"/>
        <v>FED +</v>
      </c>
      <c r="AO109" s="5">
        <f t="shared" si="156"/>
        <v>4</v>
      </c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</row>
    <row r="110" spans="1:124" s="5" customFormat="1" ht="27.95" customHeight="1" x14ac:dyDescent="0.2">
      <c r="B110" s="148" t="s">
        <v>121</v>
      </c>
      <c r="C110" s="161">
        <v>435214</v>
      </c>
      <c r="D110" s="92">
        <v>10</v>
      </c>
      <c r="E110" s="84" t="s">
        <v>108</v>
      </c>
      <c r="F110" s="36" t="s">
        <v>357</v>
      </c>
      <c r="G110" s="37" t="s">
        <v>209</v>
      </c>
      <c r="H110" s="92">
        <v>1983</v>
      </c>
      <c r="I110" s="192" t="s">
        <v>355</v>
      </c>
      <c r="J110" s="35" t="s">
        <v>108</v>
      </c>
      <c r="K110" s="103">
        <v>57.6</v>
      </c>
      <c r="L110" s="38">
        <v>53</v>
      </c>
      <c r="M110" s="39">
        <v>56</v>
      </c>
      <c r="N110" s="39">
        <v>-58</v>
      </c>
      <c r="O110" s="54">
        <f t="shared" si="149"/>
        <v>56</v>
      </c>
      <c r="P110" s="53">
        <v>69</v>
      </c>
      <c r="Q110" s="53">
        <v>73</v>
      </c>
      <c r="R110" s="53">
        <v>-77</v>
      </c>
      <c r="S110" s="54">
        <f t="shared" si="150"/>
        <v>73</v>
      </c>
      <c r="T110" s="55">
        <f t="shared" si="151"/>
        <v>129</v>
      </c>
      <c r="U110" s="56" t="str">
        <f t="shared" si="152"/>
        <v>FED + 4</v>
      </c>
      <c r="V110" s="86" t="str">
        <f>IF(E110=0," ",IF(E110="H",IF(OR(E110="SEN",H110&lt;1998),VLOOKUP(K110,Minimas!$A$11:$G$29,6),IF(AND(H110&gt;1997,H110&lt;2001),VLOOKUP(K110,Minimas!$A$11:$G$29,5),IF(AND(H110&gt;2000,H110&lt;2003),VLOOKUP(K110,Minimas!$A$11:$G$29,4),IF(AND(H110&gt;2002,H110&lt;2005),VLOOKUP(K110,Minimas!$A$11:$G$29,3),VLOOKUP(K110,Minimas!$A$11:$G$29,2))))),IF(OR(H110="SEN",H110&lt;1998),VLOOKUP(K110,Minimas!$G$11:$L$26,6),IF(AND(H110&gt;1997,H110&lt;2001),VLOOKUP(K110,Minimas!$G$11:$L$26,5),IF(AND(H110&gt;2000,H110&lt;2003),VLOOKUP(K110,Minimas!$G$11:$L$26,4),IF(AND(H110&gt;2002,H110&lt;2005),VLOOKUP(K110,Minimas!$G$11:$L$26,3),VLOOKUP(K110,Minimas!$G$11:$L$26,2)))))))</f>
        <v>FS 58</v>
      </c>
      <c r="W110" s="62">
        <f t="shared" si="153"/>
        <v>179.00230682494168</v>
      </c>
      <c r="X110" s="63"/>
      <c r="Y110" s="156" t="s">
        <v>319</v>
      </c>
      <c r="AC110" s="90">
        <f>T110-HLOOKUP(V110,Minimas!$C$1:$BN$10,2,FALSE)</f>
        <v>59</v>
      </c>
      <c r="AD110" s="90">
        <f>T110-HLOOKUP(V110,Minimas!$C$1:$BN$10,3,FALSE)</f>
        <v>49</v>
      </c>
      <c r="AE110" s="90">
        <f>T110-HLOOKUP(V110,Minimas!$C$1:$BN$10,4,FALSE)</f>
        <v>39</v>
      </c>
      <c r="AF110" s="90">
        <f>T110-HLOOKUP(V110,Minimas!$C$1:$BN$10,5,FALSE)</f>
        <v>24</v>
      </c>
      <c r="AG110" s="90">
        <f>T110-HLOOKUP(V110,Minimas!$C$1:$BN$10,6,FALSE)</f>
        <v>4</v>
      </c>
      <c r="AH110" s="90">
        <f>T110-HLOOKUP(V110,Minimas!$C$1:$BN$10,7,FALSE)</f>
        <v>-11</v>
      </c>
      <c r="AI110" s="90">
        <f>T110-HLOOKUP(V110,Minimas!$C$1:$BN$10,8,FALSE)</f>
        <v>-31</v>
      </c>
      <c r="AJ110" s="90">
        <f>T110-HLOOKUP(V110,Minimas!$C$1:$BN$10,9,FALSE)</f>
        <v>-51</v>
      </c>
      <c r="AK110" s="90">
        <f>T110-HLOOKUP(V110,Minimas!$C$1:$BN$10,10,FALSE)</f>
        <v>-66</v>
      </c>
      <c r="AL110" s="91" t="str">
        <f t="shared" si="154"/>
        <v>FED +</v>
      </c>
      <c r="AN110" s="5" t="str">
        <f t="shared" si="155"/>
        <v>FED +</v>
      </c>
      <c r="AO110" s="5">
        <f t="shared" si="156"/>
        <v>4</v>
      </c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</row>
    <row r="111" spans="1:124" s="5" customFormat="1" ht="27.95" customHeight="1" x14ac:dyDescent="0.2">
      <c r="B111" s="148" t="s">
        <v>122</v>
      </c>
      <c r="C111" s="161">
        <v>424912</v>
      </c>
      <c r="D111" s="92">
        <v>11</v>
      </c>
      <c r="E111" s="84" t="s">
        <v>108</v>
      </c>
      <c r="F111" s="36" t="s">
        <v>466</v>
      </c>
      <c r="G111" s="37" t="s">
        <v>467</v>
      </c>
      <c r="H111" s="92">
        <v>1983</v>
      </c>
      <c r="I111" s="192" t="s">
        <v>468</v>
      </c>
      <c r="J111" s="35" t="s">
        <v>108</v>
      </c>
      <c r="K111" s="103">
        <v>56.2</v>
      </c>
      <c r="L111" s="38">
        <v>53</v>
      </c>
      <c r="M111" s="39">
        <v>-55</v>
      </c>
      <c r="N111" s="39">
        <v>56</v>
      </c>
      <c r="O111" s="54">
        <f t="shared" si="149"/>
        <v>56</v>
      </c>
      <c r="P111" s="53">
        <v>67</v>
      </c>
      <c r="Q111" s="53">
        <v>69</v>
      </c>
      <c r="R111" s="53">
        <v>73</v>
      </c>
      <c r="S111" s="54">
        <f t="shared" si="150"/>
        <v>73</v>
      </c>
      <c r="T111" s="55">
        <f t="shared" si="151"/>
        <v>129</v>
      </c>
      <c r="U111" s="56" t="str">
        <f t="shared" si="152"/>
        <v>FED + 4</v>
      </c>
      <c r="V111" s="86" t="str">
        <f>IF(E111=0," ",IF(E111="H",IF(OR(E111="SEN",H111&lt;1998),VLOOKUP(K111,Minimas!$A$11:$G$29,6),IF(AND(H111&gt;1997,H111&lt;2001),VLOOKUP(K111,Minimas!$A$11:$G$29,5),IF(AND(H111&gt;2000,H111&lt;2003),VLOOKUP(K111,Minimas!$A$11:$G$29,4),IF(AND(H111&gt;2002,H111&lt;2005),VLOOKUP(K111,Minimas!$A$11:$G$29,3),VLOOKUP(K111,Minimas!$A$11:$G$29,2))))),IF(OR(H111="SEN",H111&lt;1998),VLOOKUP(K111,Minimas!$G$11:$L$26,6),IF(AND(H111&gt;1997,H111&lt;2001),VLOOKUP(K111,Minimas!$G$11:$L$26,5),IF(AND(H111&gt;2000,H111&lt;2003),VLOOKUP(K111,Minimas!$G$11:$L$26,4),IF(AND(H111&gt;2002,H111&lt;2005),VLOOKUP(K111,Minimas!$G$11:$L$26,3),VLOOKUP(K111,Minimas!$G$11:$L$26,2)))))))</f>
        <v>FS 58</v>
      </c>
      <c r="W111" s="62">
        <f t="shared" si="153"/>
        <v>182.00512679224724</v>
      </c>
      <c r="X111" s="63"/>
      <c r="Y111" s="155" t="s">
        <v>441</v>
      </c>
      <c r="AC111" s="90">
        <f>T111-HLOOKUP(V111,Minimas!$C$1:$BN$10,2,FALSE)</f>
        <v>59</v>
      </c>
      <c r="AD111" s="90">
        <f>T111-HLOOKUP(V111,Minimas!$C$1:$BN$10,3,FALSE)</f>
        <v>49</v>
      </c>
      <c r="AE111" s="90">
        <f>T111-HLOOKUP(V111,Minimas!$C$1:$BN$10,4,FALSE)</f>
        <v>39</v>
      </c>
      <c r="AF111" s="90">
        <f>T111-HLOOKUP(V111,Minimas!$C$1:$BN$10,5,FALSE)</f>
        <v>24</v>
      </c>
      <c r="AG111" s="90">
        <f>T111-HLOOKUP(V111,Minimas!$C$1:$BN$10,6,FALSE)</f>
        <v>4</v>
      </c>
      <c r="AH111" s="90">
        <f>T111-HLOOKUP(V111,Minimas!$C$1:$BN$10,7,FALSE)</f>
        <v>-11</v>
      </c>
      <c r="AI111" s="90">
        <f>T111-HLOOKUP(V111,Minimas!$C$1:$BN$10,8,FALSE)</f>
        <v>-31</v>
      </c>
      <c r="AJ111" s="90">
        <f>T111-HLOOKUP(V111,Minimas!$C$1:$BN$10,9,FALSE)</f>
        <v>-51</v>
      </c>
      <c r="AK111" s="90">
        <f>T111-HLOOKUP(V111,Minimas!$C$1:$BN$10,10,FALSE)</f>
        <v>-66</v>
      </c>
      <c r="AL111" s="91" t="str">
        <f t="shared" si="154"/>
        <v>FED +</v>
      </c>
      <c r="AN111" s="5" t="str">
        <f t="shared" si="155"/>
        <v>FED +</v>
      </c>
      <c r="AO111" s="5">
        <f t="shared" si="156"/>
        <v>4</v>
      </c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</row>
    <row r="112" spans="1:124" s="5" customFormat="1" ht="27.95" customHeight="1" x14ac:dyDescent="0.2">
      <c r="B112" s="148" t="s">
        <v>123</v>
      </c>
      <c r="C112" s="161">
        <v>406839</v>
      </c>
      <c r="D112" s="92">
        <v>12</v>
      </c>
      <c r="E112" s="84" t="s">
        <v>108</v>
      </c>
      <c r="F112" s="36" t="s">
        <v>358</v>
      </c>
      <c r="G112" s="37" t="s">
        <v>456</v>
      </c>
      <c r="H112" s="92">
        <v>1990</v>
      </c>
      <c r="I112" s="192" t="s">
        <v>119</v>
      </c>
      <c r="J112" s="35" t="s">
        <v>108</v>
      </c>
      <c r="K112" s="103">
        <v>56.9</v>
      </c>
      <c r="L112" s="38">
        <v>-55</v>
      </c>
      <c r="M112" s="39">
        <v>55</v>
      </c>
      <c r="N112" s="39">
        <v>57</v>
      </c>
      <c r="O112" s="54">
        <f t="shared" si="149"/>
        <v>57</v>
      </c>
      <c r="P112" s="53">
        <v>-68</v>
      </c>
      <c r="Q112" s="53">
        <v>68</v>
      </c>
      <c r="R112" s="53">
        <v>71</v>
      </c>
      <c r="S112" s="54">
        <f t="shared" si="150"/>
        <v>71</v>
      </c>
      <c r="T112" s="55">
        <f t="shared" si="151"/>
        <v>128</v>
      </c>
      <c r="U112" s="56" t="str">
        <f t="shared" si="152"/>
        <v>FED + 3</v>
      </c>
      <c r="V112" s="86" t="str">
        <f>IF(E112=0," ",IF(E112="H",IF(OR(E112="SEN",H112&lt;1998),VLOOKUP(K112,Minimas!$A$11:$G$29,6),IF(AND(H112&gt;1997,H112&lt;2001),VLOOKUP(K112,Minimas!$A$11:$G$29,5),IF(AND(H112&gt;2000,H112&lt;2003),VLOOKUP(K112,Minimas!$A$11:$G$29,4),IF(AND(H112&gt;2002,H112&lt;2005),VLOOKUP(K112,Minimas!$A$11:$G$29,3),VLOOKUP(K112,Minimas!$A$11:$G$29,2))))),IF(OR(H112="SEN",H112&lt;1998),VLOOKUP(K112,Minimas!$G$11:$L$26,6),IF(AND(H112&gt;1997,H112&lt;2001),VLOOKUP(K112,Minimas!$G$11:$L$26,5),IF(AND(H112&gt;2000,H112&lt;2003),VLOOKUP(K112,Minimas!$G$11:$L$26,4),IF(AND(H112&gt;2002,H112&lt;2005),VLOOKUP(K112,Minimas!$G$11:$L$26,3),VLOOKUP(K112,Minimas!$G$11:$L$26,2)))))))</f>
        <v>FS 58</v>
      </c>
      <c r="W112" s="62">
        <f t="shared" si="153"/>
        <v>179.0798803807823</v>
      </c>
      <c r="X112" s="63"/>
      <c r="Y112" s="156" t="s">
        <v>319</v>
      </c>
      <c r="AC112" s="90">
        <f>T112-HLOOKUP(V112,Minimas!$C$1:$BN$10,2,FALSE)</f>
        <v>58</v>
      </c>
      <c r="AD112" s="90">
        <f>T112-HLOOKUP(V112,Minimas!$C$1:$BN$10,3,FALSE)</f>
        <v>48</v>
      </c>
      <c r="AE112" s="90">
        <f>T112-HLOOKUP(V112,Minimas!$C$1:$BN$10,4,FALSE)</f>
        <v>38</v>
      </c>
      <c r="AF112" s="90">
        <f>T112-HLOOKUP(V112,Minimas!$C$1:$BN$10,5,FALSE)</f>
        <v>23</v>
      </c>
      <c r="AG112" s="90">
        <f>T112-HLOOKUP(V112,Minimas!$C$1:$BN$10,6,FALSE)</f>
        <v>3</v>
      </c>
      <c r="AH112" s="90">
        <f>T112-HLOOKUP(V112,Minimas!$C$1:$BN$10,7,FALSE)</f>
        <v>-12</v>
      </c>
      <c r="AI112" s="90">
        <f>T112-HLOOKUP(V112,Minimas!$C$1:$BN$10,8,FALSE)</f>
        <v>-32</v>
      </c>
      <c r="AJ112" s="90">
        <f>T112-HLOOKUP(V112,Minimas!$C$1:$BN$10,9,FALSE)</f>
        <v>-52</v>
      </c>
      <c r="AK112" s="90">
        <f>T112-HLOOKUP(V112,Minimas!$C$1:$BN$10,10,FALSE)</f>
        <v>-67</v>
      </c>
      <c r="AL112" s="91" t="str">
        <f t="shared" si="154"/>
        <v>FED +</v>
      </c>
      <c r="AN112" s="5" t="str">
        <f t="shared" si="155"/>
        <v>FED +</v>
      </c>
      <c r="AO112" s="5">
        <f t="shared" si="156"/>
        <v>3</v>
      </c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</row>
    <row r="113" spans="1:124" s="5" customFormat="1" ht="27.95" customHeight="1" x14ac:dyDescent="0.2">
      <c r="B113" s="148" t="s">
        <v>189</v>
      </c>
      <c r="C113" s="161">
        <v>66154</v>
      </c>
      <c r="D113" s="92">
        <v>13</v>
      </c>
      <c r="E113" s="84" t="s">
        <v>108</v>
      </c>
      <c r="F113" s="36" t="s">
        <v>190</v>
      </c>
      <c r="G113" s="37" t="s">
        <v>640</v>
      </c>
      <c r="H113" s="92">
        <v>1974</v>
      </c>
      <c r="I113" s="192" t="s">
        <v>546</v>
      </c>
      <c r="J113" s="35" t="s">
        <v>108</v>
      </c>
      <c r="K113" s="103">
        <v>56.43</v>
      </c>
      <c r="L113" s="38">
        <v>54</v>
      </c>
      <c r="M113" s="39">
        <v>56</v>
      </c>
      <c r="N113" s="39">
        <v>58</v>
      </c>
      <c r="O113" s="54">
        <f t="shared" si="149"/>
        <v>58</v>
      </c>
      <c r="P113" s="53">
        <v>66</v>
      </c>
      <c r="Q113" s="53">
        <v>69</v>
      </c>
      <c r="R113" s="53">
        <v>-71</v>
      </c>
      <c r="S113" s="54">
        <f t="shared" si="150"/>
        <v>69</v>
      </c>
      <c r="T113" s="55">
        <f t="shared" si="151"/>
        <v>127</v>
      </c>
      <c r="U113" s="56" t="str">
        <f t="shared" si="152"/>
        <v>FED + 2</v>
      </c>
      <c r="V113" s="86" t="str">
        <f>IF(E113=0," ",IF(E113="H",IF(OR(E113="SEN",H113&lt;1998),VLOOKUP(K113,Minimas!$A$11:$G$29,6),IF(AND(H113&gt;1997,H113&lt;2001),VLOOKUP(K113,Minimas!$A$11:$G$29,5),IF(AND(H113&gt;2000,H113&lt;2003),VLOOKUP(K113,Minimas!$A$11:$G$29,4),IF(AND(H113&gt;2002,H113&lt;2005),VLOOKUP(K113,Minimas!$A$11:$G$29,3),VLOOKUP(K113,Minimas!$A$11:$G$29,2))))),IF(OR(H113="SEN",H113&lt;1998),VLOOKUP(K113,Minimas!$G$11:$L$26,6),IF(AND(H113&gt;1997,H113&lt;2001),VLOOKUP(K113,Minimas!$G$11:$L$26,5),IF(AND(H113&gt;2000,H113&lt;2003),VLOOKUP(K113,Minimas!$G$11:$L$26,4),IF(AND(H113&gt;2002,H113&lt;2005),VLOOKUP(K113,Minimas!$G$11:$L$26,3),VLOOKUP(K113,Minimas!$G$11:$L$26,2)))))))</f>
        <v>FS 58</v>
      </c>
      <c r="W113" s="62">
        <f t="shared" si="153"/>
        <v>178.68414230526744</v>
      </c>
      <c r="X113" s="63"/>
      <c r="Y113" s="157" t="s">
        <v>131</v>
      </c>
      <c r="AC113" s="90">
        <f>T113-HLOOKUP(V113,Minimas!$C$1:$BN$10,2,FALSE)</f>
        <v>57</v>
      </c>
      <c r="AD113" s="90">
        <f>T113-HLOOKUP(V113,Minimas!$C$1:$BN$10,3,FALSE)</f>
        <v>47</v>
      </c>
      <c r="AE113" s="90">
        <f>T113-HLOOKUP(V113,Minimas!$C$1:$BN$10,4,FALSE)</f>
        <v>37</v>
      </c>
      <c r="AF113" s="90">
        <f>T113-HLOOKUP(V113,Minimas!$C$1:$BN$10,5,FALSE)</f>
        <v>22</v>
      </c>
      <c r="AG113" s="90">
        <f>T113-HLOOKUP(V113,Minimas!$C$1:$BN$10,6,FALSE)</f>
        <v>2</v>
      </c>
      <c r="AH113" s="90">
        <f>T113-HLOOKUP(V113,Minimas!$C$1:$BN$10,7,FALSE)</f>
        <v>-13</v>
      </c>
      <c r="AI113" s="90">
        <f>T113-HLOOKUP(V113,Minimas!$C$1:$BN$10,8,FALSE)</f>
        <v>-33</v>
      </c>
      <c r="AJ113" s="90">
        <f>T113-HLOOKUP(V113,Minimas!$C$1:$BN$10,9,FALSE)</f>
        <v>-53</v>
      </c>
      <c r="AK113" s="90">
        <f>T113-HLOOKUP(V113,Minimas!$C$1:$BN$10,10,FALSE)</f>
        <v>-68</v>
      </c>
      <c r="AL113" s="91" t="str">
        <f t="shared" si="154"/>
        <v>FED +</v>
      </c>
      <c r="AN113" s="5" t="str">
        <f t="shared" si="155"/>
        <v>FED +</v>
      </c>
      <c r="AO113" s="5">
        <f t="shared" si="156"/>
        <v>2</v>
      </c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  <c r="BY113" s="97"/>
    </row>
    <row r="114" spans="1:124" s="5" customFormat="1" ht="27.95" customHeight="1" x14ac:dyDescent="0.2">
      <c r="B114" s="148" t="s">
        <v>122</v>
      </c>
      <c r="C114" s="161">
        <v>434170</v>
      </c>
      <c r="D114" s="92">
        <v>14</v>
      </c>
      <c r="E114" s="84" t="s">
        <v>108</v>
      </c>
      <c r="F114" s="36" t="s">
        <v>191</v>
      </c>
      <c r="G114" s="37" t="s">
        <v>641</v>
      </c>
      <c r="H114" s="92">
        <v>1996</v>
      </c>
      <c r="I114" s="192" t="s">
        <v>614</v>
      </c>
      <c r="J114" s="35" t="s">
        <v>192</v>
      </c>
      <c r="K114" s="103">
        <v>57.3</v>
      </c>
      <c r="L114" s="38">
        <v>55</v>
      </c>
      <c r="M114" s="39">
        <v>-58</v>
      </c>
      <c r="N114" s="39">
        <v>-58</v>
      </c>
      <c r="O114" s="54">
        <f t="shared" si="149"/>
        <v>55</v>
      </c>
      <c r="P114" s="53">
        <v>65</v>
      </c>
      <c r="Q114" s="53">
        <v>-70</v>
      </c>
      <c r="R114" s="53">
        <v>70</v>
      </c>
      <c r="S114" s="54">
        <f t="shared" si="150"/>
        <v>70</v>
      </c>
      <c r="T114" s="55">
        <f t="shared" si="151"/>
        <v>125</v>
      </c>
      <c r="U114" s="56" t="str">
        <f t="shared" si="152"/>
        <v>FED + 0</v>
      </c>
      <c r="V114" s="86" t="str">
        <f>IF(E114=0," ",IF(E114="H",IF(OR(E114="SEN",H114&lt;1998),VLOOKUP(K114,Minimas!$A$11:$G$29,6),IF(AND(H114&gt;1997,H114&lt;2001),VLOOKUP(K114,Minimas!$A$11:$G$29,5),IF(AND(H114&gt;2000,H114&lt;2003),VLOOKUP(K114,Minimas!$A$11:$G$29,4),IF(AND(H114&gt;2002,H114&lt;2005),VLOOKUP(K114,Minimas!$A$11:$G$29,3),VLOOKUP(K114,Minimas!$A$11:$G$29,2))))),IF(OR(H114="SEN",H114&lt;1998),VLOOKUP(K114,Minimas!$G$11:$L$26,6),IF(AND(H114&gt;1997,H114&lt;2001),VLOOKUP(K114,Minimas!$G$11:$L$26,5),IF(AND(H114&gt;2000,H114&lt;2003),VLOOKUP(K114,Minimas!$G$11:$L$26,4),IF(AND(H114&gt;2002,H114&lt;2005),VLOOKUP(K114,Minimas!$G$11:$L$26,3),VLOOKUP(K114,Minimas!$G$11:$L$26,2)))))))</f>
        <v>FS 58</v>
      </c>
      <c r="W114" s="62">
        <f t="shared" si="153"/>
        <v>174.05932280679207</v>
      </c>
      <c r="X114" s="63"/>
      <c r="Y114" s="157" t="s">
        <v>131</v>
      </c>
      <c r="AC114" s="90">
        <f>T114-HLOOKUP(V114,Minimas!$C$1:$BN$10,2,FALSE)</f>
        <v>55</v>
      </c>
      <c r="AD114" s="90">
        <f>T114-HLOOKUP(V114,Minimas!$C$1:$BN$10,3,FALSE)</f>
        <v>45</v>
      </c>
      <c r="AE114" s="90">
        <f>T114-HLOOKUP(V114,Minimas!$C$1:$BN$10,4,FALSE)</f>
        <v>35</v>
      </c>
      <c r="AF114" s="90">
        <f>T114-HLOOKUP(V114,Minimas!$C$1:$BN$10,5,FALSE)</f>
        <v>20</v>
      </c>
      <c r="AG114" s="90">
        <f>T114-HLOOKUP(V114,Minimas!$C$1:$BN$10,6,FALSE)</f>
        <v>0</v>
      </c>
      <c r="AH114" s="90">
        <f>T114-HLOOKUP(V114,Minimas!$C$1:$BN$10,7,FALSE)</f>
        <v>-15</v>
      </c>
      <c r="AI114" s="90">
        <f>T114-HLOOKUP(V114,Minimas!$C$1:$BN$10,8,FALSE)</f>
        <v>-35</v>
      </c>
      <c r="AJ114" s="90">
        <f>T114-HLOOKUP(V114,Minimas!$C$1:$BN$10,9,FALSE)</f>
        <v>-55</v>
      </c>
      <c r="AK114" s="90">
        <f>T114-HLOOKUP(V114,Minimas!$C$1:$BN$10,10,FALSE)</f>
        <v>-70</v>
      </c>
      <c r="AL114" s="91" t="str">
        <f t="shared" si="154"/>
        <v>FED +</v>
      </c>
      <c r="AN114" s="5" t="str">
        <f t="shared" si="155"/>
        <v>FED +</v>
      </c>
      <c r="AO114" s="5">
        <f t="shared" si="156"/>
        <v>0</v>
      </c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</row>
    <row r="115" spans="1:124" s="5" customFormat="1" ht="27.95" customHeight="1" x14ac:dyDescent="0.2">
      <c r="B115" s="148" t="s">
        <v>129</v>
      </c>
      <c r="C115" s="161">
        <v>223279</v>
      </c>
      <c r="D115" s="92">
        <v>15</v>
      </c>
      <c r="E115" s="84" t="s">
        <v>108</v>
      </c>
      <c r="F115" s="36" t="s">
        <v>193</v>
      </c>
      <c r="G115" s="37" t="s">
        <v>642</v>
      </c>
      <c r="H115" s="92">
        <v>1982</v>
      </c>
      <c r="I115" s="192" t="s">
        <v>615</v>
      </c>
      <c r="J115" s="35" t="s">
        <v>108</v>
      </c>
      <c r="K115" s="103">
        <v>57.6</v>
      </c>
      <c r="L115" s="38">
        <v>52</v>
      </c>
      <c r="M115" s="39">
        <v>55</v>
      </c>
      <c r="N115" s="39">
        <v>58</v>
      </c>
      <c r="O115" s="54">
        <f t="shared" si="149"/>
        <v>58</v>
      </c>
      <c r="P115" s="53">
        <v>65</v>
      </c>
      <c r="Q115" s="53">
        <v>67</v>
      </c>
      <c r="R115" s="53">
        <v>-70</v>
      </c>
      <c r="S115" s="54">
        <f t="shared" si="150"/>
        <v>67</v>
      </c>
      <c r="T115" s="55">
        <f t="shared" si="151"/>
        <v>125</v>
      </c>
      <c r="U115" s="56" t="str">
        <f t="shared" si="152"/>
        <v>FED + 0</v>
      </c>
      <c r="V115" s="86" t="str">
        <f>IF(E115=0," ",IF(E115="H",IF(OR(E115="SEN",H115&lt;1998),VLOOKUP(K115,Minimas!$A$11:$G$29,6),IF(AND(H115&gt;1997,H115&lt;2001),VLOOKUP(K115,Minimas!$A$11:$G$29,5),IF(AND(H115&gt;2000,H115&lt;2003),VLOOKUP(K115,Minimas!$A$11:$G$29,4),IF(AND(H115&gt;2002,H115&lt;2005),VLOOKUP(K115,Minimas!$A$11:$G$29,3),VLOOKUP(K115,Minimas!$A$11:$G$29,2))))),IF(OR(H115="SEN",H115&lt;1998),VLOOKUP(K115,Minimas!$G$11:$L$26,6),IF(AND(H115&gt;1997,H115&lt;2001),VLOOKUP(K115,Minimas!$G$11:$L$26,5),IF(AND(H115&gt;2000,H115&lt;2003),VLOOKUP(K115,Minimas!$G$11:$L$26,4),IF(AND(H115&gt;2002,H115&lt;2005),VLOOKUP(K115,Minimas!$G$11:$L$26,3),VLOOKUP(K115,Minimas!$G$11:$L$26,2)))))))</f>
        <v>FS 58</v>
      </c>
      <c r="W115" s="62">
        <f t="shared" si="153"/>
        <v>173.4518476985869</v>
      </c>
      <c r="X115" s="63"/>
      <c r="Y115" s="157" t="s">
        <v>131</v>
      </c>
      <c r="AC115" s="90">
        <f>T115-HLOOKUP(V115,Minimas!$C$1:$BN$10,2,FALSE)</f>
        <v>55</v>
      </c>
      <c r="AD115" s="90">
        <f>T115-HLOOKUP(V115,Minimas!$C$1:$BN$10,3,FALSE)</f>
        <v>45</v>
      </c>
      <c r="AE115" s="90">
        <f>T115-HLOOKUP(V115,Minimas!$C$1:$BN$10,4,FALSE)</f>
        <v>35</v>
      </c>
      <c r="AF115" s="90">
        <f>T115-HLOOKUP(V115,Minimas!$C$1:$BN$10,5,FALSE)</f>
        <v>20</v>
      </c>
      <c r="AG115" s="90">
        <f>T115-HLOOKUP(V115,Minimas!$C$1:$BN$10,6,FALSE)</f>
        <v>0</v>
      </c>
      <c r="AH115" s="90">
        <f>T115-HLOOKUP(V115,Minimas!$C$1:$BN$10,7,FALSE)</f>
        <v>-15</v>
      </c>
      <c r="AI115" s="90">
        <f>T115-HLOOKUP(V115,Minimas!$C$1:$BN$10,8,FALSE)</f>
        <v>-35</v>
      </c>
      <c r="AJ115" s="90">
        <f>T115-HLOOKUP(V115,Minimas!$C$1:$BN$10,9,FALSE)</f>
        <v>-55</v>
      </c>
      <c r="AK115" s="90">
        <f>T115-HLOOKUP(V115,Minimas!$C$1:$BN$10,10,FALSE)</f>
        <v>-70</v>
      </c>
      <c r="AL115" s="91" t="str">
        <f t="shared" si="154"/>
        <v>FED +</v>
      </c>
      <c r="AN115" s="5" t="str">
        <f t="shared" si="155"/>
        <v>FED +</v>
      </c>
      <c r="AO115" s="5">
        <f t="shared" si="156"/>
        <v>0</v>
      </c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</row>
    <row r="116" spans="1:124" s="5" customFormat="1" ht="27.95" customHeight="1" x14ac:dyDescent="0.2">
      <c r="B116" s="148" t="s">
        <v>123</v>
      </c>
      <c r="C116" s="161">
        <v>88574</v>
      </c>
      <c r="D116" s="92">
        <v>16</v>
      </c>
      <c r="E116" s="84" t="s">
        <v>108</v>
      </c>
      <c r="F116" s="36" t="s">
        <v>194</v>
      </c>
      <c r="G116" s="37" t="s">
        <v>643</v>
      </c>
      <c r="H116" s="92">
        <v>1988</v>
      </c>
      <c r="I116" s="192" t="s">
        <v>127</v>
      </c>
      <c r="J116" s="35" t="s">
        <v>108</v>
      </c>
      <c r="K116" s="103">
        <v>57.9</v>
      </c>
      <c r="L116" s="38">
        <v>53</v>
      </c>
      <c r="M116" s="39">
        <v>56</v>
      </c>
      <c r="N116" s="39">
        <v>-59</v>
      </c>
      <c r="O116" s="54">
        <f t="shared" si="149"/>
        <v>56</v>
      </c>
      <c r="P116" s="53">
        <v>-65</v>
      </c>
      <c r="Q116" s="53">
        <v>65</v>
      </c>
      <c r="R116" s="53">
        <v>69</v>
      </c>
      <c r="S116" s="54">
        <f t="shared" si="150"/>
        <v>69</v>
      </c>
      <c r="T116" s="55">
        <f t="shared" si="151"/>
        <v>125</v>
      </c>
      <c r="U116" s="56" t="str">
        <f t="shared" si="152"/>
        <v>FED + 0</v>
      </c>
      <c r="V116" s="86" t="str">
        <f>IF(E116=0," ",IF(E116="H",IF(OR(E116="SEN",H116&lt;1998),VLOOKUP(K116,Minimas!$A$11:$G$29,6),IF(AND(H116&gt;1997,H116&lt;2001),VLOOKUP(K116,Minimas!$A$11:$G$29,5),IF(AND(H116&gt;2000,H116&lt;2003),VLOOKUP(K116,Minimas!$A$11:$G$29,4),IF(AND(H116&gt;2002,H116&lt;2005),VLOOKUP(K116,Minimas!$A$11:$G$29,3),VLOOKUP(K116,Minimas!$A$11:$G$29,2))))),IF(OR(H116="SEN",H116&lt;1998),VLOOKUP(K116,Minimas!$G$11:$L$26,6),IF(AND(H116&gt;1997,H116&lt;2001),VLOOKUP(K116,Minimas!$G$11:$L$26,5),IF(AND(H116&gt;2000,H116&lt;2003),VLOOKUP(K116,Minimas!$G$11:$L$26,4),IF(AND(H116&gt;2002,H116&lt;2005),VLOOKUP(K116,Minimas!$G$11:$L$26,3),VLOOKUP(K116,Minimas!$G$11:$L$26,2)))))))</f>
        <v>FS 58</v>
      </c>
      <c r="W116" s="62">
        <f t="shared" si="153"/>
        <v>172.85281466837711</v>
      </c>
      <c r="X116" s="63"/>
      <c r="Y116" s="157" t="s">
        <v>131</v>
      </c>
      <c r="AC116" s="90">
        <f>T116-HLOOKUP(V116,Minimas!$C$1:$BN$10,2,FALSE)</f>
        <v>55</v>
      </c>
      <c r="AD116" s="90">
        <f>T116-HLOOKUP(V116,Minimas!$C$1:$BN$10,3,FALSE)</f>
        <v>45</v>
      </c>
      <c r="AE116" s="90">
        <f>T116-HLOOKUP(V116,Minimas!$C$1:$BN$10,4,FALSE)</f>
        <v>35</v>
      </c>
      <c r="AF116" s="90">
        <f>T116-HLOOKUP(V116,Minimas!$C$1:$BN$10,5,FALSE)</f>
        <v>20</v>
      </c>
      <c r="AG116" s="90">
        <f>T116-HLOOKUP(V116,Minimas!$C$1:$BN$10,6,FALSE)</f>
        <v>0</v>
      </c>
      <c r="AH116" s="90">
        <f>T116-HLOOKUP(V116,Minimas!$C$1:$BN$10,7,FALSE)</f>
        <v>-15</v>
      </c>
      <c r="AI116" s="90">
        <f>T116-HLOOKUP(V116,Minimas!$C$1:$BN$10,8,FALSE)</f>
        <v>-35</v>
      </c>
      <c r="AJ116" s="90">
        <f>T116-HLOOKUP(V116,Minimas!$C$1:$BN$10,9,FALSE)</f>
        <v>-55</v>
      </c>
      <c r="AK116" s="90">
        <f>T116-HLOOKUP(V116,Minimas!$C$1:$BN$10,10,FALSE)</f>
        <v>-70</v>
      </c>
      <c r="AL116" s="91" t="str">
        <f t="shared" si="154"/>
        <v>FED +</v>
      </c>
      <c r="AN116" s="5" t="str">
        <f t="shared" si="155"/>
        <v>FED +</v>
      </c>
      <c r="AO116" s="5">
        <f t="shared" si="156"/>
        <v>0</v>
      </c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</row>
    <row r="117" spans="1:124" s="5" customFormat="1" ht="27.95" customHeight="1" x14ac:dyDescent="0.2">
      <c r="B117" s="148" t="s">
        <v>124</v>
      </c>
      <c r="C117" s="161">
        <v>438359</v>
      </c>
      <c r="D117" s="92">
        <v>17</v>
      </c>
      <c r="E117" s="84" t="s">
        <v>108</v>
      </c>
      <c r="F117" s="36" t="s">
        <v>360</v>
      </c>
      <c r="G117" s="37" t="s">
        <v>209</v>
      </c>
      <c r="H117" s="92">
        <v>1996</v>
      </c>
      <c r="I117" s="192" t="s">
        <v>616</v>
      </c>
      <c r="J117" s="35" t="s">
        <v>108</v>
      </c>
      <c r="K117" s="103">
        <v>56.4</v>
      </c>
      <c r="L117" s="38">
        <v>50</v>
      </c>
      <c r="M117" s="39">
        <v>-54</v>
      </c>
      <c r="N117" s="39">
        <v>-54</v>
      </c>
      <c r="O117" s="54">
        <f t="shared" si="149"/>
        <v>50</v>
      </c>
      <c r="P117" s="53">
        <v>68</v>
      </c>
      <c r="Q117" s="53">
        <v>-75</v>
      </c>
      <c r="R117" s="53">
        <v>75</v>
      </c>
      <c r="S117" s="54">
        <f t="shared" si="150"/>
        <v>75</v>
      </c>
      <c r="T117" s="55">
        <f t="shared" si="151"/>
        <v>125</v>
      </c>
      <c r="U117" s="56" t="str">
        <f t="shared" si="152"/>
        <v>FED + 0</v>
      </c>
      <c r="V117" s="86" t="str">
        <f>IF(E117=0," ",IF(E117="H",IF(OR(E117="SEN",H117&lt;1998),VLOOKUP(K117,Minimas!$A$11:$G$29,6),IF(AND(H117&gt;1997,H117&lt;2001),VLOOKUP(K117,Minimas!$A$11:$G$29,5),IF(AND(H117&gt;2000,H117&lt;2003),VLOOKUP(K117,Minimas!$A$11:$G$29,4),IF(AND(H117&gt;2002,H117&lt;2005),VLOOKUP(K117,Minimas!$A$11:$G$29,3),VLOOKUP(K117,Minimas!$A$11:$G$29,2))))),IF(OR(H117="SEN",H117&lt;1998),VLOOKUP(K117,Minimas!$G$11:$L$26,6),IF(AND(H117&gt;1997,H117&lt;2001),VLOOKUP(K117,Minimas!$G$11:$L$26,5),IF(AND(H117&gt;2000,H117&lt;2003),VLOOKUP(K117,Minimas!$G$11:$L$26,4),IF(AND(H117&gt;2002,H117&lt;2005),VLOOKUP(K117,Minimas!$G$11:$L$26,3),VLOOKUP(K117,Minimas!$G$11:$L$26,2)))))))</f>
        <v>FS 58</v>
      </c>
      <c r="W117" s="62">
        <f t="shared" si="153"/>
        <v>175.93400202123647</v>
      </c>
      <c r="X117" s="63"/>
      <c r="Y117" s="156" t="s">
        <v>319</v>
      </c>
      <c r="AC117" s="90">
        <f>T117-HLOOKUP(V117,Minimas!$C$1:$BN$10,2,FALSE)</f>
        <v>55</v>
      </c>
      <c r="AD117" s="90">
        <f>T117-HLOOKUP(V117,Minimas!$C$1:$BN$10,3,FALSE)</f>
        <v>45</v>
      </c>
      <c r="AE117" s="90">
        <f>T117-HLOOKUP(V117,Minimas!$C$1:$BN$10,4,FALSE)</f>
        <v>35</v>
      </c>
      <c r="AF117" s="90">
        <f>T117-HLOOKUP(V117,Minimas!$C$1:$BN$10,5,FALSE)</f>
        <v>20</v>
      </c>
      <c r="AG117" s="90">
        <f>T117-HLOOKUP(V117,Minimas!$C$1:$BN$10,6,FALSE)</f>
        <v>0</v>
      </c>
      <c r="AH117" s="90">
        <f>T117-HLOOKUP(V117,Minimas!$C$1:$BN$10,7,FALSE)</f>
        <v>-15</v>
      </c>
      <c r="AI117" s="90">
        <f>T117-HLOOKUP(V117,Minimas!$C$1:$BN$10,8,FALSE)</f>
        <v>-35</v>
      </c>
      <c r="AJ117" s="90">
        <f>T117-HLOOKUP(V117,Minimas!$C$1:$BN$10,9,FALSE)</f>
        <v>-55</v>
      </c>
      <c r="AK117" s="90">
        <f>T117-HLOOKUP(V117,Minimas!$C$1:$BN$10,10,FALSE)</f>
        <v>-70</v>
      </c>
      <c r="AL117" s="91" t="str">
        <f t="shared" si="154"/>
        <v>FED +</v>
      </c>
      <c r="AN117" s="5" t="str">
        <f t="shared" si="155"/>
        <v>FED +</v>
      </c>
      <c r="AO117" s="5">
        <f t="shared" si="156"/>
        <v>0</v>
      </c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</row>
    <row r="118" spans="1:124" s="5" customFormat="1" ht="27.95" customHeight="1" thickBot="1" x14ac:dyDescent="0.25">
      <c r="B118" s="148" t="s">
        <v>314</v>
      </c>
      <c r="C118" s="161">
        <v>413404</v>
      </c>
      <c r="D118" s="92">
        <v>18</v>
      </c>
      <c r="E118" s="84" t="s">
        <v>108</v>
      </c>
      <c r="F118" s="36" t="s">
        <v>469</v>
      </c>
      <c r="G118" s="37" t="s">
        <v>644</v>
      </c>
      <c r="H118" s="92">
        <v>1995</v>
      </c>
      <c r="I118" s="192" t="s">
        <v>571</v>
      </c>
      <c r="J118" s="35" t="s">
        <v>470</v>
      </c>
      <c r="K118" s="103">
        <v>58</v>
      </c>
      <c r="L118" s="38">
        <v>55</v>
      </c>
      <c r="M118" s="39">
        <v>-57</v>
      </c>
      <c r="N118" s="39">
        <v>57</v>
      </c>
      <c r="O118" s="54">
        <f t="shared" si="149"/>
        <v>57</v>
      </c>
      <c r="P118" s="53">
        <v>-68</v>
      </c>
      <c r="Q118" s="53">
        <v>68</v>
      </c>
      <c r="R118" s="53">
        <v>-71</v>
      </c>
      <c r="S118" s="54">
        <f t="shared" si="150"/>
        <v>68</v>
      </c>
      <c r="T118" s="55">
        <f t="shared" si="151"/>
        <v>125</v>
      </c>
      <c r="U118" s="56" t="str">
        <f t="shared" si="152"/>
        <v>FED + 0</v>
      </c>
      <c r="V118" s="86" t="str">
        <f>IF(E118=0," ",IF(E118="H",IF(OR(E118="SEN",H118&lt;1998),VLOOKUP(K118,Minimas!$A$11:$G$29,6),IF(AND(H118&gt;1997,H118&lt;2001),VLOOKUP(K118,Minimas!$A$11:$G$29,5),IF(AND(H118&gt;2000,H118&lt;2003),VLOOKUP(K118,Minimas!$A$11:$G$29,4),IF(AND(H118&gt;2002,H118&lt;2005),VLOOKUP(K118,Minimas!$A$11:$G$29,3),VLOOKUP(K118,Minimas!$A$11:$G$29,2))))),IF(OR(H118="SEN",H118&lt;1998),VLOOKUP(K118,Minimas!$G$11:$L$26,6),IF(AND(H118&gt;1997,H118&lt;2001),VLOOKUP(K118,Minimas!$G$11:$L$26,5),IF(AND(H118&gt;2000,H118&lt;2003),VLOOKUP(K118,Minimas!$G$11:$L$26,4),IF(AND(H118&gt;2002,H118&lt;2005),VLOOKUP(K118,Minimas!$G$11:$L$26,3),VLOOKUP(K118,Minimas!$G$11:$L$26,2)))))))</f>
        <v>FS 58</v>
      </c>
      <c r="W118" s="62">
        <f t="shared" si="153"/>
        <v>172.65498622020874</v>
      </c>
      <c r="X118" s="63"/>
      <c r="Y118" s="155" t="s">
        <v>441</v>
      </c>
      <c r="AC118" s="90">
        <f>T118-HLOOKUP(V118,Minimas!$C$1:$BN$10,2,FALSE)</f>
        <v>55</v>
      </c>
      <c r="AD118" s="90">
        <f>T118-HLOOKUP(V118,Minimas!$C$1:$BN$10,3,FALSE)</f>
        <v>45</v>
      </c>
      <c r="AE118" s="90">
        <f>T118-HLOOKUP(V118,Minimas!$C$1:$BN$10,4,FALSE)</f>
        <v>35</v>
      </c>
      <c r="AF118" s="90">
        <f>T118-HLOOKUP(V118,Minimas!$C$1:$BN$10,5,FALSE)</f>
        <v>20</v>
      </c>
      <c r="AG118" s="90">
        <f>T118-HLOOKUP(V118,Minimas!$C$1:$BN$10,6,FALSE)</f>
        <v>0</v>
      </c>
      <c r="AH118" s="90">
        <f>T118-HLOOKUP(V118,Minimas!$C$1:$BN$10,7,FALSE)</f>
        <v>-15</v>
      </c>
      <c r="AI118" s="90">
        <f>T118-HLOOKUP(V118,Minimas!$C$1:$BN$10,8,FALSE)</f>
        <v>-35</v>
      </c>
      <c r="AJ118" s="90">
        <f>T118-HLOOKUP(V118,Minimas!$C$1:$BN$10,9,FALSE)</f>
        <v>-55</v>
      </c>
      <c r="AK118" s="90">
        <f>T118-HLOOKUP(V118,Minimas!$C$1:$BN$10,10,FALSE)</f>
        <v>-70</v>
      </c>
      <c r="AL118" s="91" t="str">
        <f t="shared" si="154"/>
        <v>FED +</v>
      </c>
      <c r="AN118" s="5" t="str">
        <f t="shared" si="155"/>
        <v>FED +</v>
      </c>
      <c r="AO118" s="5">
        <f t="shared" si="156"/>
        <v>0</v>
      </c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  <c r="BY118" s="97"/>
    </row>
    <row r="119" spans="1:124" s="11" customFormat="1" ht="5.0999999999999996" customHeight="1" thickBot="1" x14ac:dyDescent="0.25">
      <c r="A119" s="8"/>
      <c r="B119" s="147"/>
      <c r="C119" s="160"/>
      <c r="D119" s="41"/>
      <c r="E119" s="41"/>
      <c r="F119" s="42"/>
      <c r="G119" s="43"/>
      <c r="H119" s="44"/>
      <c r="I119" s="193"/>
      <c r="J119" s="40"/>
      <c r="K119" s="101"/>
      <c r="L119" s="45"/>
      <c r="M119" s="45"/>
      <c r="N119" s="45"/>
      <c r="O119" s="46"/>
      <c r="P119" s="45"/>
      <c r="Q119" s="45"/>
      <c r="R119" s="45"/>
      <c r="S119" s="46"/>
      <c r="T119" s="46"/>
      <c r="U119" s="41"/>
      <c r="V119" s="48"/>
      <c r="W119" s="47"/>
      <c r="X119" s="7"/>
      <c r="Y119" s="154"/>
      <c r="Z119" s="7"/>
      <c r="AA119" s="7"/>
      <c r="AB119" s="7"/>
      <c r="AC119" s="89" t="s">
        <v>60</v>
      </c>
      <c r="AD119" s="89" t="s">
        <v>61</v>
      </c>
      <c r="AE119" s="89" t="s">
        <v>62</v>
      </c>
      <c r="AF119" s="89" t="s">
        <v>63</v>
      </c>
      <c r="AG119" s="89" t="s">
        <v>64</v>
      </c>
      <c r="AH119" s="89" t="s">
        <v>65</v>
      </c>
      <c r="AI119" s="89" t="s">
        <v>66</v>
      </c>
      <c r="AJ119" s="89" t="s">
        <v>67</v>
      </c>
      <c r="AK119" s="89" t="s">
        <v>68</v>
      </c>
      <c r="AL119" s="89"/>
      <c r="AM119" s="7"/>
      <c r="AN119" s="7"/>
      <c r="AO119" s="7"/>
      <c r="AP119" s="7"/>
      <c r="AQ119" s="7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</row>
    <row r="120" spans="1:124" s="5" customFormat="1" ht="27.95" customHeight="1" x14ac:dyDescent="0.2">
      <c r="B120" s="148" t="s">
        <v>122</v>
      </c>
      <c r="C120" s="161">
        <v>422020</v>
      </c>
      <c r="D120" s="92">
        <v>1</v>
      </c>
      <c r="E120" s="84" t="s">
        <v>108</v>
      </c>
      <c r="F120" s="36" t="s">
        <v>195</v>
      </c>
      <c r="G120" s="37" t="s">
        <v>581</v>
      </c>
      <c r="H120" s="92">
        <v>1985</v>
      </c>
      <c r="I120" s="192" t="s">
        <v>468</v>
      </c>
      <c r="J120" s="35" t="s">
        <v>108</v>
      </c>
      <c r="K120" s="103">
        <v>62.7</v>
      </c>
      <c r="L120" s="38">
        <v>63</v>
      </c>
      <c r="M120" s="39">
        <v>-67</v>
      </c>
      <c r="N120" s="39">
        <v>-67</v>
      </c>
      <c r="O120" s="54">
        <f t="shared" ref="O120:O141" si="157">IF(E120="","",IF(MAXA(L120:N120)&lt;=0,0,MAXA(L120:N120)))</f>
        <v>63</v>
      </c>
      <c r="P120" s="53">
        <v>83</v>
      </c>
      <c r="Q120" s="53">
        <v>-87</v>
      </c>
      <c r="R120" s="53">
        <v>-87</v>
      </c>
      <c r="S120" s="54">
        <f t="shared" ref="S120:S141" si="158">IF(E120="","",IF(MAXA(P120:R120)&lt;=0,0,MAXA(P120:R120)))</f>
        <v>83</v>
      </c>
      <c r="T120" s="55">
        <f t="shared" ref="T120:T141" si="159">IF(E120="","",IF(OR(O120=0,S120=0),0,O120+S120))</f>
        <v>146</v>
      </c>
      <c r="U120" s="56" t="str">
        <f t="shared" ref="U120:U141" si="160">+CONCATENATE(AN120," ",AO120)</f>
        <v>FED + 16</v>
      </c>
      <c r="V120" s="86" t="str">
        <f>IF(E120=0," ",IF(E120="H",IF(OR(E120="SEN",H120&lt;1998),VLOOKUP(K120,Minimas!$A$11:$G$29,6),IF(AND(H120&gt;1997,H120&lt;2001),VLOOKUP(K120,Minimas!$A$11:$G$29,5),IF(AND(H120&gt;2000,H120&lt;2003),VLOOKUP(K120,Minimas!$A$11:$G$29,4),IF(AND(H120&gt;2002,H120&lt;2005),VLOOKUP(K120,Minimas!$A$11:$G$29,3),VLOOKUP(K120,Minimas!$A$11:$G$29,2))))),IF(OR(H120="SEN",H120&lt;1998),VLOOKUP(K120,Minimas!$G$11:$L$26,6),IF(AND(H120&gt;1997,H120&lt;2001),VLOOKUP(K120,Minimas!$G$11:$L$26,5),IF(AND(H120&gt;2000,H120&lt;2003),VLOOKUP(K120,Minimas!$G$11:$L$26,4),IF(AND(H120&gt;2002,H120&lt;2005),VLOOKUP(K120,Minimas!$G$11:$L$26,3),VLOOKUP(K120,Minimas!$G$11:$L$26,2)))))))</f>
        <v>FS 63</v>
      </c>
      <c r="W120" s="62">
        <f t="shared" ref="W120:W141" si="161">IF(E120=" "," ",IF(E120="H",10^(0.75194503*LOG(K120/175.508)^2)*T120,IF(E120="F",10^(0.783497476* LOG(K120/153.655)^2)*T120,"")))</f>
        <v>191.90341404939971</v>
      </c>
      <c r="X120" s="63"/>
      <c r="Y120" s="157" t="s">
        <v>131</v>
      </c>
      <c r="AC120" s="90">
        <f>T120-HLOOKUP(V120,Minimas!$C$1:$BN$10,2,FALSE)</f>
        <v>71</v>
      </c>
      <c r="AD120" s="90">
        <f>T120-HLOOKUP(V120,Minimas!$C$1:$BN$10,3,FALSE)</f>
        <v>61</v>
      </c>
      <c r="AE120" s="90">
        <f>T120-HLOOKUP(V120,Minimas!$C$1:$BN$10,4,FALSE)</f>
        <v>51</v>
      </c>
      <c r="AF120" s="90">
        <f>T120-HLOOKUP(V120,Minimas!$C$1:$BN$10,5,FALSE)</f>
        <v>36</v>
      </c>
      <c r="AG120" s="90">
        <f>T120-HLOOKUP(V120,Minimas!$C$1:$BN$10,6,FALSE)</f>
        <v>16</v>
      </c>
      <c r="AH120" s="90">
        <f>T120-HLOOKUP(V120,Minimas!$C$1:$BN$10,7,FALSE)</f>
        <v>-4</v>
      </c>
      <c r="AI120" s="90">
        <f>T120-HLOOKUP(V120,Minimas!$C$1:$BN$10,8,FALSE)</f>
        <v>-24</v>
      </c>
      <c r="AJ120" s="90">
        <f>T120-HLOOKUP(V120,Minimas!$C$1:$BN$10,9,FALSE)</f>
        <v>-44</v>
      </c>
      <c r="AK120" s="90">
        <f>T120-HLOOKUP(V120,Minimas!$C$1:$BN$10,10,FALSE)</f>
        <v>-59</v>
      </c>
      <c r="AL120" s="91" t="str">
        <f t="shared" ref="AL120:AL141" si="162">IF(E120=0," ",IF(AK120&gt;=0,$AK$7,IF(AJ120&gt;=0,$AJ$7,IF(AI120&gt;=0,$AI$7,IF(AH120&gt;=0,$AH$7,IF(AG120&gt;=0,$AG$7,IF(AF120&gt;=0,$AF$7,IF(AE120&gt;=0,$AE$7,IF(AD120&gt;=0,$AD$7,$AC$7)))))))))</f>
        <v>FED +</v>
      </c>
      <c r="AN120" s="5" t="str">
        <f t="shared" ref="AN120:AN141" si="163">IF(AL120="","",AL120)</f>
        <v>FED +</v>
      </c>
      <c r="AO120" s="5">
        <f t="shared" ref="AO120:AO141" si="164">IF(E120=0," ",IF(AK120&gt;=0,AK120,IF(AJ120&gt;=0,AJ120,IF(AI120&gt;=0,AI120,IF(AH120&gt;=0,AH120,IF(AG120&gt;=0,AG120,IF(AF120&gt;=0,AF120,IF(AE120&gt;=0,AE120,IF(AD120&gt;=0,AD120,AC120)))))))))</f>
        <v>16</v>
      </c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</row>
    <row r="121" spans="1:124" s="5" customFormat="1" ht="27.95" customHeight="1" x14ac:dyDescent="0.2">
      <c r="B121" s="148" t="s">
        <v>122</v>
      </c>
      <c r="C121" s="161">
        <v>401312</v>
      </c>
      <c r="D121" s="92">
        <v>2</v>
      </c>
      <c r="E121" s="84" t="s">
        <v>108</v>
      </c>
      <c r="F121" s="36" t="s">
        <v>196</v>
      </c>
      <c r="G121" s="37" t="s">
        <v>645</v>
      </c>
      <c r="H121" s="92">
        <v>1992</v>
      </c>
      <c r="I121" s="192" t="s">
        <v>614</v>
      </c>
      <c r="J121" s="35" t="s">
        <v>108</v>
      </c>
      <c r="K121" s="103">
        <v>60.6</v>
      </c>
      <c r="L121" s="38">
        <v>62</v>
      </c>
      <c r="M121" s="39">
        <v>-65</v>
      </c>
      <c r="N121" s="39">
        <v>-65</v>
      </c>
      <c r="O121" s="54">
        <f t="shared" si="157"/>
        <v>62</v>
      </c>
      <c r="P121" s="53">
        <v>75</v>
      </c>
      <c r="Q121" s="53">
        <v>-80</v>
      </c>
      <c r="R121" s="53">
        <v>80</v>
      </c>
      <c r="S121" s="54">
        <f t="shared" si="158"/>
        <v>80</v>
      </c>
      <c r="T121" s="55">
        <f t="shared" si="159"/>
        <v>142</v>
      </c>
      <c r="U121" s="56" t="str">
        <f t="shared" si="160"/>
        <v>FED + 12</v>
      </c>
      <c r="V121" s="86" t="str">
        <f>IF(E121=0," ",IF(E121="H",IF(OR(E121="SEN",H121&lt;1998),VLOOKUP(K121,Minimas!$A$11:$G$29,6),IF(AND(H121&gt;1997,H121&lt;2001),VLOOKUP(K121,Minimas!$A$11:$G$29,5),IF(AND(H121&gt;2000,H121&lt;2003),VLOOKUP(K121,Minimas!$A$11:$G$29,4),IF(AND(H121&gt;2002,H121&lt;2005),VLOOKUP(K121,Minimas!$A$11:$G$29,3),VLOOKUP(K121,Minimas!$A$11:$G$29,2))))),IF(OR(H121="SEN",H121&lt;1998),VLOOKUP(K121,Minimas!$G$11:$L$26,6),IF(AND(H121&gt;1997,H121&lt;2001),VLOOKUP(K121,Minimas!$G$11:$L$26,5),IF(AND(H121&gt;2000,H121&lt;2003),VLOOKUP(K121,Minimas!$G$11:$L$26,4),IF(AND(H121&gt;2002,H121&lt;2005),VLOOKUP(K121,Minimas!$G$11:$L$26,3),VLOOKUP(K121,Minimas!$G$11:$L$26,2)))))))</f>
        <v>FS 63</v>
      </c>
      <c r="W121" s="62">
        <f t="shared" si="161"/>
        <v>190.64023543703945</v>
      </c>
      <c r="X121" s="63"/>
      <c r="Y121" s="157" t="s">
        <v>131</v>
      </c>
      <c r="AC121" s="90">
        <f>T121-HLOOKUP(V121,Minimas!$C$1:$BN$10,2,FALSE)</f>
        <v>67</v>
      </c>
      <c r="AD121" s="90">
        <f>T121-HLOOKUP(V121,Minimas!$C$1:$BN$10,3,FALSE)</f>
        <v>57</v>
      </c>
      <c r="AE121" s="90">
        <f>T121-HLOOKUP(V121,Minimas!$C$1:$BN$10,4,FALSE)</f>
        <v>47</v>
      </c>
      <c r="AF121" s="90">
        <f>T121-HLOOKUP(V121,Minimas!$C$1:$BN$10,5,FALSE)</f>
        <v>32</v>
      </c>
      <c r="AG121" s="90">
        <f>T121-HLOOKUP(V121,Minimas!$C$1:$BN$10,6,FALSE)</f>
        <v>12</v>
      </c>
      <c r="AH121" s="90">
        <f>T121-HLOOKUP(V121,Minimas!$C$1:$BN$10,7,FALSE)</f>
        <v>-8</v>
      </c>
      <c r="AI121" s="90">
        <f>T121-HLOOKUP(V121,Minimas!$C$1:$BN$10,8,FALSE)</f>
        <v>-28</v>
      </c>
      <c r="AJ121" s="90">
        <f>T121-HLOOKUP(V121,Minimas!$C$1:$BN$10,9,FALSE)</f>
        <v>-48</v>
      </c>
      <c r="AK121" s="90">
        <f>T121-HLOOKUP(V121,Minimas!$C$1:$BN$10,10,FALSE)</f>
        <v>-63</v>
      </c>
      <c r="AL121" s="91" t="str">
        <f t="shared" si="162"/>
        <v>FED +</v>
      </c>
      <c r="AN121" s="5" t="str">
        <f t="shared" si="163"/>
        <v>FED +</v>
      </c>
      <c r="AO121" s="5">
        <f t="shared" si="164"/>
        <v>12</v>
      </c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  <c r="BY121" s="97"/>
    </row>
    <row r="122" spans="1:124" s="5" customFormat="1" ht="27.95" customHeight="1" x14ac:dyDescent="0.2">
      <c r="B122" s="148" t="s">
        <v>432</v>
      </c>
      <c r="C122" s="161">
        <v>417156</v>
      </c>
      <c r="D122" s="92">
        <v>3</v>
      </c>
      <c r="E122" s="84" t="s">
        <v>108</v>
      </c>
      <c r="F122" s="36" t="s">
        <v>433</v>
      </c>
      <c r="G122" s="37" t="s">
        <v>434</v>
      </c>
      <c r="H122" s="92">
        <v>1982</v>
      </c>
      <c r="I122" s="192" t="s">
        <v>569</v>
      </c>
      <c r="J122" s="35" t="s">
        <v>108</v>
      </c>
      <c r="K122" s="103">
        <v>58.84</v>
      </c>
      <c r="L122" s="38">
        <v>60</v>
      </c>
      <c r="M122" s="39">
        <v>64</v>
      </c>
      <c r="N122" s="39">
        <v>65</v>
      </c>
      <c r="O122" s="54">
        <f t="shared" si="157"/>
        <v>65</v>
      </c>
      <c r="P122" s="53">
        <v>73</v>
      </c>
      <c r="Q122" s="53">
        <v>76</v>
      </c>
      <c r="R122" s="53">
        <v>-78</v>
      </c>
      <c r="S122" s="54">
        <f t="shared" si="158"/>
        <v>76</v>
      </c>
      <c r="T122" s="55">
        <f t="shared" si="159"/>
        <v>141</v>
      </c>
      <c r="U122" s="56" t="str">
        <f t="shared" si="160"/>
        <v>FED + 11</v>
      </c>
      <c r="V122" s="86" t="str">
        <f>IF(E122=0," ",IF(E122="H",IF(OR(E122="SEN",H122&lt;1998),VLOOKUP(K122,Minimas!$A$11:$G$29,6),IF(AND(H122&gt;1997,H122&lt;2001),VLOOKUP(K122,Minimas!$A$11:$G$29,5),IF(AND(H122&gt;2000,H122&lt;2003),VLOOKUP(K122,Minimas!$A$11:$G$29,4),IF(AND(H122&gt;2002,H122&lt;2005),VLOOKUP(K122,Minimas!$A$11:$G$29,3),VLOOKUP(K122,Minimas!$A$11:$G$29,2))))),IF(OR(H122="SEN",H122&lt;1998),VLOOKUP(K122,Minimas!$G$11:$L$26,6),IF(AND(H122&gt;1997,H122&lt;2001),VLOOKUP(K122,Minimas!$G$11:$L$26,5),IF(AND(H122&gt;2000,H122&lt;2003),VLOOKUP(K122,Minimas!$G$11:$L$26,4),IF(AND(H122&gt;2002,H122&lt;2005),VLOOKUP(K122,Minimas!$G$11:$L$26,3),VLOOKUP(K122,Minimas!$G$11:$L$26,2)))))))</f>
        <v>FS 63</v>
      </c>
      <c r="W122" s="62">
        <f t="shared" si="161"/>
        <v>192.92051213100356</v>
      </c>
      <c r="X122" s="63"/>
      <c r="Y122" s="156" t="s">
        <v>319</v>
      </c>
      <c r="AC122" s="90">
        <f>T122-HLOOKUP(V122,Minimas!$C$1:$BN$10,2,FALSE)</f>
        <v>66</v>
      </c>
      <c r="AD122" s="90">
        <f>T122-HLOOKUP(V122,Minimas!$C$1:$BN$10,3,FALSE)</f>
        <v>56</v>
      </c>
      <c r="AE122" s="90">
        <f>T122-HLOOKUP(V122,Minimas!$C$1:$BN$10,4,FALSE)</f>
        <v>46</v>
      </c>
      <c r="AF122" s="90">
        <f>T122-HLOOKUP(V122,Minimas!$C$1:$BN$10,5,FALSE)</f>
        <v>31</v>
      </c>
      <c r="AG122" s="90">
        <f>T122-HLOOKUP(V122,Minimas!$C$1:$BN$10,6,FALSE)</f>
        <v>11</v>
      </c>
      <c r="AH122" s="90">
        <f>T122-HLOOKUP(V122,Minimas!$C$1:$BN$10,7,FALSE)</f>
        <v>-9</v>
      </c>
      <c r="AI122" s="90">
        <f>T122-HLOOKUP(V122,Minimas!$C$1:$BN$10,8,FALSE)</f>
        <v>-29</v>
      </c>
      <c r="AJ122" s="90">
        <f>T122-HLOOKUP(V122,Minimas!$C$1:$BN$10,9,FALSE)</f>
        <v>-49</v>
      </c>
      <c r="AK122" s="90">
        <f>T122-HLOOKUP(V122,Minimas!$C$1:$BN$10,10,FALSE)</f>
        <v>-64</v>
      </c>
      <c r="AL122" s="91" t="str">
        <f t="shared" si="162"/>
        <v>FED +</v>
      </c>
      <c r="AN122" s="5" t="str">
        <f t="shared" si="163"/>
        <v>FED +</v>
      </c>
      <c r="AO122" s="5">
        <f t="shared" si="164"/>
        <v>11</v>
      </c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  <c r="BY122" s="97"/>
    </row>
    <row r="123" spans="1:124" s="5" customFormat="1" ht="27.95" customHeight="1" x14ac:dyDescent="0.2">
      <c r="B123" s="148" t="s">
        <v>138</v>
      </c>
      <c r="C123" s="161">
        <v>436651</v>
      </c>
      <c r="D123" s="92">
        <v>4</v>
      </c>
      <c r="E123" s="84" t="s">
        <v>108</v>
      </c>
      <c r="F123" s="36" t="s">
        <v>205</v>
      </c>
      <c r="G123" s="37" t="s">
        <v>206</v>
      </c>
      <c r="H123" s="92">
        <v>1995</v>
      </c>
      <c r="I123" s="192" t="s">
        <v>617</v>
      </c>
      <c r="J123" s="35" t="s">
        <v>108</v>
      </c>
      <c r="K123" s="103">
        <v>62.55</v>
      </c>
      <c r="L123" s="38">
        <v>55</v>
      </c>
      <c r="M123" s="39">
        <v>-60</v>
      </c>
      <c r="N123" s="39">
        <v>60</v>
      </c>
      <c r="O123" s="54">
        <f t="shared" si="157"/>
        <v>60</v>
      </c>
      <c r="P123" s="53">
        <v>73</v>
      </c>
      <c r="Q123" s="53">
        <v>-77</v>
      </c>
      <c r="R123" s="53">
        <v>80</v>
      </c>
      <c r="S123" s="54">
        <f t="shared" si="158"/>
        <v>80</v>
      </c>
      <c r="T123" s="55">
        <f t="shared" si="159"/>
        <v>140</v>
      </c>
      <c r="U123" s="56" t="str">
        <f t="shared" si="160"/>
        <v>FED + 10</v>
      </c>
      <c r="V123" s="86" t="str">
        <f>IF(E123=0," ",IF(E123="H",IF(OR(E123="SEN",H123&lt;1998),VLOOKUP(K123,Minimas!$A$11:$G$29,6),IF(AND(H123&gt;1997,H123&lt;2001),VLOOKUP(K123,Minimas!$A$11:$G$29,5),IF(AND(H123&gt;2000,H123&lt;2003),VLOOKUP(K123,Minimas!$A$11:$G$29,4),IF(AND(H123&gt;2002,H123&lt;2005),VLOOKUP(K123,Minimas!$A$11:$G$29,3),VLOOKUP(K123,Minimas!$A$11:$G$29,2))))),IF(OR(H123="SEN",H123&lt;1998),VLOOKUP(K123,Minimas!$G$11:$L$26,6),IF(AND(H123&gt;1997,H123&lt;2001),VLOOKUP(K123,Minimas!$G$11:$L$26,5),IF(AND(H123&gt;2000,H123&lt;2003),VLOOKUP(K123,Minimas!$G$11:$L$26,4),IF(AND(H123&gt;2002,H123&lt;2005),VLOOKUP(K123,Minimas!$G$11:$L$26,3),VLOOKUP(K123,Minimas!$G$11:$L$26,2)))))))</f>
        <v>FS 63</v>
      </c>
      <c r="W123" s="62">
        <f t="shared" si="161"/>
        <v>184.28639121379808</v>
      </c>
      <c r="X123" s="63"/>
      <c r="Y123" s="155" t="s">
        <v>441</v>
      </c>
      <c r="AC123" s="90">
        <f>T123-HLOOKUP(V123,Minimas!$C$1:$BN$10,2,FALSE)</f>
        <v>65</v>
      </c>
      <c r="AD123" s="90">
        <f>T123-HLOOKUP(V123,Minimas!$C$1:$BN$10,3,FALSE)</f>
        <v>55</v>
      </c>
      <c r="AE123" s="90">
        <f>T123-HLOOKUP(V123,Minimas!$C$1:$BN$10,4,FALSE)</f>
        <v>45</v>
      </c>
      <c r="AF123" s="90">
        <f>T123-HLOOKUP(V123,Minimas!$C$1:$BN$10,5,FALSE)</f>
        <v>30</v>
      </c>
      <c r="AG123" s="90">
        <f>T123-HLOOKUP(V123,Minimas!$C$1:$BN$10,6,FALSE)</f>
        <v>10</v>
      </c>
      <c r="AH123" s="90">
        <f>T123-HLOOKUP(V123,Minimas!$C$1:$BN$10,7,FALSE)</f>
        <v>-10</v>
      </c>
      <c r="AI123" s="90">
        <f>T123-HLOOKUP(V123,Minimas!$C$1:$BN$10,8,FALSE)</f>
        <v>-30</v>
      </c>
      <c r="AJ123" s="90">
        <f>T123-HLOOKUP(V123,Minimas!$C$1:$BN$10,9,FALSE)</f>
        <v>-50</v>
      </c>
      <c r="AK123" s="90">
        <f>T123-HLOOKUP(V123,Minimas!$C$1:$BN$10,10,FALSE)</f>
        <v>-65</v>
      </c>
      <c r="AL123" s="91" t="str">
        <f t="shared" si="162"/>
        <v>FED +</v>
      </c>
      <c r="AN123" s="5" t="str">
        <f t="shared" si="163"/>
        <v>FED +</v>
      </c>
      <c r="AO123" s="5">
        <f t="shared" si="164"/>
        <v>10</v>
      </c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</row>
    <row r="124" spans="1:124" s="5" customFormat="1" ht="27.95" customHeight="1" x14ac:dyDescent="0.2">
      <c r="B124" s="148" t="s">
        <v>121</v>
      </c>
      <c r="C124" s="161">
        <v>418174</v>
      </c>
      <c r="D124" s="92">
        <v>5</v>
      </c>
      <c r="E124" s="84" t="s">
        <v>108</v>
      </c>
      <c r="F124" s="36" t="s">
        <v>197</v>
      </c>
      <c r="G124" s="37" t="s">
        <v>646</v>
      </c>
      <c r="H124" s="92">
        <v>1982</v>
      </c>
      <c r="I124" s="192" t="s">
        <v>618</v>
      </c>
      <c r="J124" s="35" t="s">
        <v>192</v>
      </c>
      <c r="K124" s="103">
        <v>62.1</v>
      </c>
      <c r="L124" s="38">
        <v>55</v>
      </c>
      <c r="M124" s="39">
        <v>-58</v>
      </c>
      <c r="N124" s="39">
        <v>-58</v>
      </c>
      <c r="O124" s="54">
        <f t="shared" si="157"/>
        <v>55</v>
      </c>
      <c r="P124" s="53">
        <v>80</v>
      </c>
      <c r="Q124" s="53">
        <v>84</v>
      </c>
      <c r="R124" s="53">
        <v>-86</v>
      </c>
      <c r="S124" s="54">
        <f t="shared" si="158"/>
        <v>84</v>
      </c>
      <c r="T124" s="55">
        <f t="shared" si="159"/>
        <v>139</v>
      </c>
      <c r="U124" s="56" t="str">
        <f t="shared" si="160"/>
        <v>FED + 9</v>
      </c>
      <c r="V124" s="86" t="str">
        <f>IF(E124=0," ",IF(E124="H",IF(OR(E124="SEN",H124&lt;1998),VLOOKUP(K124,Minimas!$A$11:$G$29,6),IF(AND(H124&gt;1997,H124&lt;2001),VLOOKUP(K124,Minimas!$A$11:$G$29,5),IF(AND(H124&gt;2000,H124&lt;2003),VLOOKUP(K124,Minimas!$A$11:$G$29,4),IF(AND(H124&gt;2002,H124&lt;2005),VLOOKUP(K124,Minimas!$A$11:$G$29,3),VLOOKUP(K124,Minimas!$A$11:$G$29,2))))),IF(OR(H124="SEN",H124&lt;1998),VLOOKUP(K124,Minimas!$G$11:$L$26,6),IF(AND(H124&gt;1997,H124&lt;2001),VLOOKUP(K124,Minimas!$G$11:$L$26,5),IF(AND(H124&gt;2000,H124&lt;2003),VLOOKUP(K124,Minimas!$G$11:$L$26,4),IF(AND(H124&gt;2002,H124&lt;2005),VLOOKUP(K124,Minimas!$G$11:$L$26,3),VLOOKUP(K124,Minimas!$G$11:$L$26,2)))))))</f>
        <v>FS 63</v>
      </c>
      <c r="W124" s="62">
        <f t="shared" si="161"/>
        <v>183.78312250944407</v>
      </c>
      <c r="X124" s="63"/>
      <c r="Y124" s="157" t="s">
        <v>131</v>
      </c>
      <c r="AC124" s="90">
        <f>T124-HLOOKUP(V124,Minimas!$C$1:$BN$10,2,FALSE)</f>
        <v>64</v>
      </c>
      <c r="AD124" s="90">
        <f>T124-HLOOKUP(V124,Minimas!$C$1:$BN$10,3,FALSE)</f>
        <v>54</v>
      </c>
      <c r="AE124" s="90">
        <f>T124-HLOOKUP(V124,Minimas!$C$1:$BN$10,4,FALSE)</f>
        <v>44</v>
      </c>
      <c r="AF124" s="90">
        <f>T124-HLOOKUP(V124,Minimas!$C$1:$BN$10,5,FALSE)</f>
        <v>29</v>
      </c>
      <c r="AG124" s="90">
        <f>T124-HLOOKUP(V124,Minimas!$C$1:$BN$10,6,FALSE)</f>
        <v>9</v>
      </c>
      <c r="AH124" s="90">
        <f>T124-HLOOKUP(V124,Minimas!$C$1:$BN$10,7,FALSE)</f>
        <v>-11</v>
      </c>
      <c r="AI124" s="90">
        <f>T124-HLOOKUP(V124,Minimas!$C$1:$BN$10,8,FALSE)</f>
        <v>-31</v>
      </c>
      <c r="AJ124" s="90">
        <f>T124-HLOOKUP(V124,Minimas!$C$1:$BN$10,9,FALSE)</f>
        <v>-51</v>
      </c>
      <c r="AK124" s="90">
        <f>T124-HLOOKUP(V124,Minimas!$C$1:$BN$10,10,FALSE)</f>
        <v>-66</v>
      </c>
      <c r="AL124" s="91" t="str">
        <f t="shared" si="162"/>
        <v>FED +</v>
      </c>
      <c r="AN124" s="5" t="str">
        <f t="shared" si="163"/>
        <v>FED +</v>
      </c>
      <c r="AO124" s="5">
        <f t="shared" si="164"/>
        <v>9</v>
      </c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  <c r="BY124" s="97"/>
    </row>
    <row r="125" spans="1:124" s="5" customFormat="1" ht="27.95" customHeight="1" x14ac:dyDescent="0.2">
      <c r="B125" s="148" t="s">
        <v>121</v>
      </c>
      <c r="C125" s="161">
        <v>418068</v>
      </c>
      <c r="D125" s="92">
        <v>6</v>
      </c>
      <c r="E125" s="84" t="s">
        <v>108</v>
      </c>
      <c r="F125" s="36" t="s">
        <v>361</v>
      </c>
      <c r="G125" s="37" t="s">
        <v>362</v>
      </c>
      <c r="H125" s="92">
        <v>1992</v>
      </c>
      <c r="I125" s="192" t="s">
        <v>561</v>
      </c>
      <c r="J125" s="35" t="s">
        <v>108</v>
      </c>
      <c r="K125" s="103">
        <v>60.3</v>
      </c>
      <c r="L125" s="38">
        <v>-56</v>
      </c>
      <c r="M125" s="39">
        <v>56</v>
      </c>
      <c r="N125" s="39">
        <v>61</v>
      </c>
      <c r="O125" s="54">
        <f t="shared" si="157"/>
        <v>61</v>
      </c>
      <c r="P125" s="53">
        <v>73</v>
      </c>
      <c r="Q125" s="53">
        <v>78</v>
      </c>
      <c r="R125" s="53">
        <v>-82</v>
      </c>
      <c r="S125" s="54">
        <f t="shared" si="158"/>
        <v>78</v>
      </c>
      <c r="T125" s="55">
        <f t="shared" si="159"/>
        <v>139</v>
      </c>
      <c r="U125" s="56" t="str">
        <f t="shared" si="160"/>
        <v>FED + 9</v>
      </c>
      <c r="V125" s="86" t="str">
        <f>IF(E125=0," ",IF(E125="H",IF(OR(E125="SEN",H125&lt;1998),VLOOKUP(K125,Minimas!$A$11:$G$29,6),IF(AND(H125&gt;1997,H125&lt;2001),VLOOKUP(K125,Minimas!$A$11:$G$29,5),IF(AND(H125&gt;2000,H125&lt;2003),VLOOKUP(K125,Minimas!$A$11:$G$29,4),IF(AND(H125&gt;2002,H125&lt;2005),VLOOKUP(K125,Minimas!$A$11:$G$29,3),VLOOKUP(K125,Minimas!$A$11:$G$29,2))))),IF(OR(H125="SEN",H125&lt;1998),VLOOKUP(K125,Minimas!$G$11:$L$26,6),IF(AND(H125&gt;1997,H125&lt;2001),VLOOKUP(K125,Minimas!$G$11:$L$26,5),IF(AND(H125&gt;2000,H125&lt;2003),VLOOKUP(K125,Minimas!$G$11:$L$26,4),IF(AND(H125&gt;2002,H125&lt;2005),VLOOKUP(K125,Minimas!$G$11:$L$26,3),VLOOKUP(K125,Minimas!$G$11:$L$26,2)))))))</f>
        <v>FS 63</v>
      </c>
      <c r="W125" s="62">
        <f t="shared" si="161"/>
        <v>187.20151798666004</v>
      </c>
      <c r="X125" s="63"/>
      <c r="Y125" s="155" t="s">
        <v>441</v>
      </c>
      <c r="AC125" s="90">
        <f>T125-HLOOKUP(V125,Minimas!$C$1:$BN$10,2,FALSE)</f>
        <v>64</v>
      </c>
      <c r="AD125" s="90">
        <f>T125-HLOOKUP(V125,Minimas!$C$1:$BN$10,3,FALSE)</f>
        <v>54</v>
      </c>
      <c r="AE125" s="90">
        <f>T125-HLOOKUP(V125,Minimas!$C$1:$BN$10,4,FALSE)</f>
        <v>44</v>
      </c>
      <c r="AF125" s="90">
        <f>T125-HLOOKUP(V125,Minimas!$C$1:$BN$10,5,FALSE)</f>
        <v>29</v>
      </c>
      <c r="AG125" s="90">
        <f>T125-HLOOKUP(V125,Minimas!$C$1:$BN$10,6,FALSE)</f>
        <v>9</v>
      </c>
      <c r="AH125" s="90">
        <f>T125-HLOOKUP(V125,Minimas!$C$1:$BN$10,7,FALSE)</f>
        <v>-11</v>
      </c>
      <c r="AI125" s="90">
        <f>T125-HLOOKUP(V125,Minimas!$C$1:$BN$10,8,FALSE)</f>
        <v>-31</v>
      </c>
      <c r="AJ125" s="90">
        <f>T125-HLOOKUP(V125,Minimas!$C$1:$BN$10,9,FALSE)</f>
        <v>-51</v>
      </c>
      <c r="AK125" s="90">
        <f>T125-HLOOKUP(V125,Minimas!$C$1:$BN$10,10,FALSE)</f>
        <v>-66</v>
      </c>
      <c r="AL125" s="91" t="str">
        <f t="shared" si="162"/>
        <v>FED +</v>
      </c>
      <c r="AN125" s="5" t="str">
        <f t="shared" si="163"/>
        <v>FED +</v>
      </c>
      <c r="AO125" s="5">
        <f t="shared" si="164"/>
        <v>9</v>
      </c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  <c r="BY125" s="97"/>
    </row>
    <row r="126" spans="1:124" s="5" customFormat="1" ht="27.95" customHeight="1" x14ac:dyDescent="0.2">
      <c r="B126" s="148" t="s">
        <v>122</v>
      </c>
      <c r="C126" s="161">
        <v>433833</v>
      </c>
      <c r="D126" s="92">
        <v>7</v>
      </c>
      <c r="E126" s="84" t="s">
        <v>108</v>
      </c>
      <c r="F126" s="36" t="s">
        <v>198</v>
      </c>
      <c r="G126" s="37" t="s">
        <v>647</v>
      </c>
      <c r="H126" s="92">
        <v>1991</v>
      </c>
      <c r="I126" s="192" t="s">
        <v>614</v>
      </c>
      <c r="J126" s="35" t="s">
        <v>108</v>
      </c>
      <c r="K126" s="103">
        <v>62.9</v>
      </c>
      <c r="L126" s="38">
        <v>-57</v>
      </c>
      <c r="M126" s="39">
        <v>57</v>
      </c>
      <c r="N126" s="39">
        <v>-60</v>
      </c>
      <c r="O126" s="54">
        <f t="shared" si="157"/>
        <v>57</v>
      </c>
      <c r="P126" s="53">
        <v>73</v>
      </c>
      <c r="Q126" s="53">
        <v>77</v>
      </c>
      <c r="R126" s="53">
        <v>80</v>
      </c>
      <c r="S126" s="54">
        <f t="shared" si="158"/>
        <v>80</v>
      </c>
      <c r="T126" s="55">
        <f t="shared" si="159"/>
        <v>137</v>
      </c>
      <c r="U126" s="56" t="str">
        <f t="shared" si="160"/>
        <v>FED + 7</v>
      </c>
      <c r="V126" s="86" t="str">
        <f>IF(E126=0," ",IF(E126="H",IF(OR(E126="SEN",H126&lt;1998),VLOOKUP(K126,Minimas!$A$11:$G$29,6),IF(AND(H126&gt;1997,H126&lt;2001),VLOOKUP(K126,Minimas!$A$11:$G$29,5),IF(AND(H126&gt;2000,H126&lt;2003),VLOOKUP(K126,Minimas!$A$11:$G$29,4),IF(AND(H126&gt;2002,H126&lt;2005),VLOOKUP(K126,Minimas!$A$11:$G$29,3),VLOOKUP(K126,Minimas!$A$11:$G$29,2))))),IF(OR(H126="SEN",H126&lt;1998),VLOOKUP(K126,Minimas!$G$11:$L$26,6),IF(AND(H126&gt;1997,H126&lt;2001),VLOOKUP(K126,Minimas!$G$11:$L$26,5),IF(AND(H126&gt;2000,H126&lt;2003),VLOOKUP(K126,Minimas!$G$11:$L$26,4),IF(AND(H126&gt;2002,H126&lt;2005),VLOOKUP(K126,Minimas!$G$11:$L$26,3),VLOOKUP(K126,Minimas!$G$11:$L$26,2)))))))</f>
        <v>FS 63</v>
      </c>
      <c r="W126" s="62">
        <f t="shared" si="161"/>
        <v>179.72488714854973</v>
      </c>
      <c r="X126" s="63"/>
      <c r="Y126" s="157" t="s">
        <v>131</v>
      </c>
      <c r="AC126" s="90">
        <f>T126-HLOOKUP(V126,Minimas!$C$1:$BN$10,2,FALSE)</f>
        <v>62</v>
      </c>
      <c r="AD126" s="90">
        <f>T126-HLOOKUP(V126,Minimas!$C$1:$BN$10,3,FALSE)</f>
        <v>52</v>
      </c>
      <c r="AE126" s="90">
        <f>T126-HLOOKUP(V126,Minimas!$C$1:$BN$10,4,FALSE)</f>
        <v>42</v>
      </c>
      <c r="AF126" s="90">
        <f>T126-HLOOKUP(V126,Minimas!$C$1:$BN$10,5,FALSE)</f>
        <v>27</v>
      </c>
      <c r="AG126" s="90">
        <f>T126-HLOOKUP(V126,Minimas!$C$1:$BN$10,6,FALSE)</f>
        <v>7</v>
      </c>
      <c r="AH126" s="90">
        <f>T126-HLOOKUP(V126,Minimas!$C$1:$BN$10,7,FALSE)</f>
        <v>-13</v>
      </c>
      <c r="AI126" s="90">
        <f>T126-HLOOKUP(V126,Minimas!$C$1:$BN$10,8,FALSE)</f>
        <v>-33</v>
      </c>
      <c r="AJ126" s="90">
        <f>T126-HLOOKUP(V126,Minimas!$C$1:$BN$10,9,FALSE)</f>
        <v>-53</v>
      </c>
      <c r="AK126" s="90">
        <f>T126-HLOOKUP(V126,Minimas!$C$1:$BN$10,10,FALSE)</f>
        <v>-68</v>
      </c>
      <c r="AL126" s="91" t="str">
        <f t="shared" si="162"/>
        <v>FED +</v>
      </c>
      <c r="AN126" s="5" t="str">
        <f t="shared" si="163"/>
        <v>FED +</v>
      </c>
      <c r="AO126" s="5">
        <f t="shared" si="164"/>
        <v>7</v>
      </c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</row>
    <row r="127" spans="1:124" s="5" customFormat="1" ht="27.95" customHeight="1" x14ac:dyDescent="0.2">
      <c r="B127" s="148" t="s">
        <v>121</v>
      </c>
      <c r="C127" s="161">
        <v>230430</v>
      </c>
      <c r="D127" s="92">
        <v>8</v>
      </c>
      <c r="E127" s="84" t="s">
        <v>108</v>
      </c>
      <c r="F127" s="36" t="s">
        <v>367</v>
      </c>
      <c r="G127" s="37" t="s">
        <v>368</v>
      </c>
      <c r="H127" s="92">
        <v>1995</v>
      </c>
      <c r="I127" s="192" t="s">
        <v>545</v>
      </c>
      <c r="J127" s="35" t="s">
        <v>108</v>
      </c>
      <c r="K127" s="103">
        <v>61.2</v>
      </c>
      <c r="L127" s="38">
        <v>57</v>
      </c>
      <c r="M127" s="39">
        <v>60</v>
      </c>
      <c r="N127" s="39">
        <v>63</v>
      </c>
      <c r="O127" s="54">
        <f t="shared" si="157"/>
        <v>63</v>
      </c>
      <c r="P127" s="53">
        <v>67</v>
      </c>
      <c r="Q127" s="53">
        <v>70</v>
      </c>
      <c r="R127" s="53">
        <v>73</v>
      </c>
      <c r="S127" s="54">
        <f t="shared" si="158"/>
        <v>73</v>
      </c>
      <c r="T127" s="55">
        <f t="shared" si="159"/>
        <v>136</v>
      </c>
      <c r="U127" s="56" t="str">
        <f t="shared" si="160"/>
        <v>FED + 6</v>
      </c>
      <c r="V127" s="86" t="str">
        <f>IF(E127=0," ",IF(E127="H",IF(OR(E127="SEN",H127&lt;1998),VLOOKUP(K127,Minimas!$A$11:$G$29,6),IF(AND(H127&gt;1997,H127&lt;2001),VLOOKUP(K127,Minimas!$A$11:$G$29,5),IF(AND(H127&gt;2000,H127&lt;2003),VLOOKUP(K127,Minimas!$A$11:$G$29,4),IF(AND(H127&gt;2002,H127&lt;2005),VLOOKUP(K127,Minimas!$A$11:$G$29,3),VLOOKUP(K127,Minimas!$A$11:$G$29,2))))),IF(OR(H127="SEN",H127&lt;1998),VLOOKUP(K127,Minimas!$G$11:$L$26,6),IF(AND(H127&gt;1997,H127&lt;2001),VLOOKUP(K127,Minimas!$G$11:$L$26,5),IF(AND(H127&gt;2000,H127&lt;2003),VLOOKUP(K127,Minimas!$G$11:$L$26,4),IF(AND(H127&gt;2002,H127&lt;2005),VLOOKUP(K127,Minimas!$G$11:$L$26,3),VLOOKUP(K127,Minimas!$G$11:$L$26,2)))))))</f>
        <v>FS 63</v>
      </c>
      <c r="W127" s="62">
        <f t="shared" si="161"/>
        <v>181.45553327002406</v>
      </c>
      <c r="X127" s="63"/>
      <c r="Y127" s="155" t="s">
        <v>441</v>
      </c>
      <c r="AC127" s="90">
        <f>T127-HLOOKUP(V127,Minimas!$C$1:$BN$10,2,FALSE)</f>
        <v>61</v>
      </c>
      <c r="AD127" s="90">
        <f>T127-HLOOKUP(V127,Minimas!$C$1:$BN$10,3,FALSE)</f>
        <v>51</v>
      </c>
      <c r="AE127" s="90">
        <f>T127-HLOOKUP(V127,Minimas!$C$1:$BN$10,4,FALSE)</f>
        <v>41</v>
      </c>
      <c r="AF127" s="90">
        <f>T127-HLOOKUP(V127,Minimas!$C$1:$BN$10,5,FALSE)</f>
        <v>26</v>
      </c>
      <c r="AG127" s="90">
        <f>T127-HLOOKUP(V127,Minimas!$C$1:$BN$10,6,FALSE)</f>
        <v>6</v>
      </c>
      <c r="AH127" s="90">
        <f>T127-HLOOKUP(V127,Minimas!$C$1:$BN$10,7,FALSE)</f>
        <v>-14</v>
      </c>
      <c r="AI127" s="90">
        <f>T127-HLOOKUP(V127,Minimas!$C$1:$BN$10,8,FALSE)</f>
        <v>-34</v>
      </c>
      <c r="AJ127" s="90">
        <f>T127-HLOOKUP(V127,Minimas!$C$1:$BN$10,9,FALSE)</f>
        <v>-54</v>
      </c>
      <c r="AK127" s="90">
        <f>T127-HLOOKUP(V127,Minimas!$C$1:$BN$10,10,FALSE)</f>
        <v>-69</v>
      </c>
      <c r="AL127" s="91" t="str">
        <f t="shared" si="162"/>
        <v>FED +</v>
      </c>
      <c r="AN127" s="5" t="str">
        <f t="shared" si="163"/>
        <v>FED +</v>
      </c>
      <c r="AO127" s="5">
        <f t="shared" si="164"/>
        <v>6</v>
      </c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  <c r="BY127" s="97"/>
    </row>
    <row r="128" spans="1:124" s="5" customFormat="1" ht="27.95" customHeight="1" x14ac:dyDescent="0.2">
      <c r="B128" s="148" t="s">
        <v>122</v>
      </c>
      <c r="C128" s="161">
        <v>423251</v>
      </c>
      <c r="D128" s="92">
        <v>9</v>
      </c>
      <c r="E128" s="84" t="s">
        <v>108</v>
      </c>
      <c r="F128" s="36" t="s">
        <v>199</v>
      </c>
      <c r="G128" s="37" t="s">
        <v>434</v>
      </c>
      <c r="H128" s="92">
        <v>1992</v>
      </c>
      <c r="I128" s="192" t="s">
        <v>614</v>
      </c>
      <c r="J128" s="35" t="s">
        <v>108</v>
      </c>
      <c r="K128" s="103">
        <v>61.5</v>
      </c>
      <c r="L128" s="38">
        <v>-60</v>
      </c>
      <c r="M128" s="39">
        <v>-60</v>
      </c>
      <c r="N128" s="39">
        <v>60</v>
      </c>
      <c r="O128" s="54">
        <f t="shared" si="157"/>
        <v>60</v>
      </c>
      <c r="P128" s="53">
        <v>70</v>
      </c>
      <c r="Q128" s="53">
        <v>75</v>
      </c>
      <c r="R128" s="53">
        <v>-80</v>
      </c>
      <c r="S128" s="54">
        <f t="shared" si="158"/>
        <v>75</v>
      </c>
      <c r="T128" s="55">
        <f t="shared" si="159"/>
        <v>135</v>
      </c>
      <c r="U128" s="56" t="str">
        <f t="shared" si="160"/>
        <v>FED + 5</v>
      </c>
      <c r="V128" s="86" t="str">
        <f>IF(E128=0," ",IF(E128="H",IF(OR(E128="SEN",H128&lt;1998),VLOOKUP(K128,Minimas!$A$11:$G$29,6),IF(AND(H128&gt;1997,H128&lt;2001),VLOOKUP(K128,Minimas!$A$11:$G$29,5),IF(AND(H128&gt;2000,H128&lt;2003),VLOOKUP(K128,Minimas!$A$11:$G$29,4),IF(AND(H128&gt;2002,H128&lt;2005),VLOOKUP(K128,Minimas!$A$11:$G$29,3),VLOOKUP(K128,Minimas!$A$11:$G$29,2))))),IF(OR(H128="SEN",H128&lt;1998),VLOOKUP(K128,Minimas!$G$11:$L$26,6),IF(AND(H128&gt;1997,H128&lt;2001),VLOOKUP(K128,Minimas!$G$11:$L$26,5),IF(AND(H128&gt;2000,H128&lt;2003),VLOOKUP(K128,Minimas!$G$11:$L$26,4),IF(AND(H128&gt;2002,H128&lt;2005),VLOOKUP(K128,Minimas!$G$11:$L$26,3),VLOOKUP(K128,Minimas!$G$11:$L$26,2)))))))</f>
        <v>FS 63</v>
      </c>
      <c r="W128" s="62">
        <f t="shared" si="161"/>
        <v>179.57181166992117</v>
      </c>
      <c r="X128" s="63"/>
      <c r="Y128" s="157" t="s">
        <v>131</v>
      </c>
      <c r="AC128" s="90">
        <f>T128-HLOOKUP(V128,Minimas!$C$1:$BN$10,2,FALSE)</f>
        <v>60</v>
      </c>
      <c r="AD128" s="90">
        <f>T128-HLOOKUP(V128,Minimas!$C$1:$BN$10,3,FALSE)</f>
        <v>50</v>
      </c>
      <c r="AE128" s="90">
        <f>T128-HLOOKUP(V128,Minimas!$C$1:$BN$10,4,FALSE)</f>
        <v>40</v>
      </c>
      <c r="AF128" s="90">
        <f>T128-HLOOKUP(V128,Minimas!$C$1:$BN$10,5,FALSE)</f>
        <v>25</v>
      </c>
      <c r="AG128" s="90">
        <f>T128-HLOOKUP(V128,Minimas!$C$1:$BN$10,6,FALSE)</f>
        <v>5</v>
      </c>
      <c r="AH128" s="90">
        <f>T128-HLOOKUP(V128,Minimas!$C$1:$BN$10,7,FALSE)</f>
        <v>-15</v>
      </c>
      <c r="AI128" s="90">
        <f>T128-HLOOKUP(V128,Minimas!$C$1:$BN$10,8,FALSE)</f>
        <v>-35</v>
      </c>
      <c r="AJ128" s="90">
        <f>T128-HLOOKUP(V128,Minimas!$C$1:$BN$10,9,FALSE)</f>
        <v>-55</v>
      </c>
      <c r="AK128" s="90">
        <f>T128-HLOOKUP(V128,Minimas!$C$1:$BN$10,10,FALSE)</f>
        <v>-70</v>
      </c>
      <c r="AL128" s="91" t="str">
        <f t="shared" si="162"/>
        <v>FED +</v>
      </c>
      <c r="AN128" s="5" t="str">
        <f t="shared" si="163"/>
        <v>FED +</v>
      </c>
      <c r="AO128" s="5">
        <f t="shared" si="164"/>
        <v>5</v>
      </c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  <c r="BY128" s="97"/>
    </row>
    <row r="129" spans="1:124" s="5" customFormat="1" ht="27.95" customHeight="1" x14ac:dyDescent="0.2">
      <c r="B129" s="150" t="s">
        <v>121</v>
      </c>
      <c r="C129" s="163">
        <v>112257</v>
      </c>
      <c r="D129" s="128">
        <v>10</v>
      </c>
      <c r="E129" s="129" t="s">
        <v>108</v>
      </c>
      <c r="F129" s="130" t="s">
        <v>200</v>
      </c>
      <c r="G129" s="131" t="s">
        <v>648</v>
      </c>
      <c r="H129" s="128">
        <v>1985</v>
      </c>
      <c r="I129" s="199" t="s">
        <v>619</v>
      </c>
      <c r="J129" s="132" t="s">
        <v>108</v>
      </c>
      <c r="K129" s="133">
        <v>62.15</v>
      </c>
      <c r="L129" s="134">
        <v>55</v>
      </c>
      <c r="M129" s="135">
        <v>-60</v>
      </c>
      <c r="N129" s="135">
        <v>-60</v>
      </c>
      <c r="O129" s="136">
        <f t="shared" si="157"/>
        <v>55</v>
      </c>
      <c r="P129" s="137">
        <v>75</v>
      </c>
      <c r="Q129" s="137">
        <v>80</v>
      </c>
      <c r="R129" s="137">
        <v>-82</v>
      </c>
      <c r="S129" s="136">
        <f t="shared" si="158"/>
        <v>80</v>
      </c>
      <c r="T129" s="138">
        <f t="shared" si="159"/>
        <v>135</v>
      </c>
      <c r="U129" s="139" t="str">
        <f t="shared" si="160"/>
        <v>FED + 5</v>
      </c>
      <c r="V129" s="140" t="str">
        <f>IF(E129=0," ",IF(E129="H",IF(OR(E129="SEN",H129&lt;1998),VLOOKUP(K129,Minimas!$A$11:$G$29,6),IF(AND(H129&gt;1997,H129&lt;2001),VLOOKUP(K129,Minimas!$A$11:$G$29,5),IF(AND(H129&gt;2000,H129&lt;2003),VLOOKUP(K129,Minimas!$A$11:$G$29,4),IF(AND(H129&gt;2002,H129&lt;2005),VLOOKUP(K129,Minimas!$A$11:$G$29,3),VLOOKUP(K129,Minimas!$A$11:$G$29,2))))),IF(OR(H129="SEN",H129&lt;1998),VLOOKUP(K129,Minimas!$G$11:$L$26,6),IF(AND(H129&gt;1997,H129&lt;2001),VLOOKUP(K129,Minimas!$G$11:$L$26,5),IF(AND(H129&gt;2000,H129&lt;2003),VLOOKUP(K129,Minimas!$G$11:$L$26,4),IF(AND(H129&gt;2002,H129&lt;2005),VLOOKUP(K129,Minimas!$G$11:$L$26,3),VLOOKUP(K129,Minimas!$G$11:$L$26,2)))))))</f>
        <v>FS 63</v>
      </c>
      <c r="W129" s="141">
        <f t="shared" si="161"/>
        <v>178.40588996623089</v>
      </c>
      <c r="X129" s="63"/>
      <c r="Y129" s="157" t="s">
        <v>131</v>
      </c>
      <c r="AC129" s="90">
        <f>T129-HLOOKUP(V129,Minimas!$C$1:$BN$10,2,FALSE)</f>
        <v>60</v>
      </c>
      <c r="AD129" s="90">
        <f>T129-HLOOKUP(V129,Minimas!$C$1:$BN$10,3,FALSE)</f>
        <v>50</v>
      </c>
      <c r="AE129" s="90">
        <f>T129-HLOOKUP(V129,Minimas!$C$1:$BN$10,4,FALSE)</f>
        <v>40</v>
      </c>
      <c r="AF129" s="90">
        <f>T129-HLOOKUP(V129,Minimas!$C$1:$BN$10,5,FALSE)</f>
        <v>25</v>
      </c>
      <c r="AG129" s="90">
        <f>T129-HLOOKUP(V129,Minimas!$C$1:$BN$10,6,FALSE)</f>
        <v>5</v>
      </c>
      <c r="AH129" s="90">
        <f>T129-HLOOKUP(V129,Minimas!$C$1:$BN$10,7,FALSE)</f>
        <v>-15</v>
      </c>
      <c r="AI129" s="90">
        <f>T129-HLOOKUP(V129,Minimas!$C$1:$BN$10,8,FALSE)</f>
        <v>-35</v>
      </c>
      <c r="AJ129" s="90">
        <f>T129-HLOOKUP(V129,Minimas!$C$1:$BN$10,9,FALSE)</f>
        <v>-55</v>
      </c>
      <c r="AK129" s="90">
        <f>T129-HLOOKUP(V129,Minimas!$C$1:$BN$10,10,FALSE)</f>
        <v>-70</v>
      </c>
      <c r="AL129" s="91" t="str">
        <f t="shared" si="162"/>
        <v>FED +</v>
      </c>
      <c r="AN129" s="5" t="str">
        <f t="shared" si="163"/>
        <v>FED +</v>
      </c>
      <c r="AO129" s="5">
        <f t="shared" si="164"/>
        <v>5</v>
      </c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</row>
    <row r="130" spans="1:124" s="5" customFormat="1" ht="27.95" customHeight="1" x14ac:dyDescent="0.2">
      <c r="B130" s="148" t="s">
        <v>121</v>
      </c>
      <c r="C130" s="161">
        <v>403059</v>
      </c>
      <c r="D130" s="92">
        <v>11</v>
      </c>
      <c r="E130" s="84" t="s">
        <v>108</v>
      </c>
      <c r="F130" s="36" t="s">
        <v>201</v>
      </c>
      <c r="G130" s="37" t="s">
        <v>649</v>
      </c>
      <c r="H130" s="92">
        <v>1992</v>
      </c>
      <c r="I130" s="192" t="s">
        <v>618</v>
      </c>
      <c r="J130" s="35" t="s">
        <v>108</v>
      </c>
      <c r="K130" s="103">
        <v>62.95</v>
      </c>
      <c r="L130" s="38">
        <v>55</v>
      </c>
      <c r="M130" s="39">
        <v>-60</v>
      </c>
      <c r="N130" s="39">
        <v>60</v>
      </c>
      <c r="O130" s="54">
        <f t="shared" si="157"/>
        <v>60</v>
      </c>
      <c r="P130" s="53">
        <v>70</v>
      </c>
      <c r="Q130" s="53">
        <v>75</v>
      </c>
      <c r="R130" s="53">
        <v>-78</v>
      </c>
      <c r="S130" s="54">
        <f t="shared" si="158"/>
        <v>75</v>
      </c>
      <c r="T130" s="55">
        <f t="shared" si="159"/>
        <v>135</v>
      </c>
      <c r="U130" s="56" t="str">
        <f t="shared" si="160"/>
        <v>FED + 5</v>
      </c>
      <c r="V130" s="86" t="str">
        <f>IF(E130=0," ",IF(E130="H",IF(OR(E130="SEN",H130&lt;1998),VLOOKUP(K130,Minimas!$A$11:$G$29,6),IF(AND(H130&gt;1997,H130&lt;2001),VLOOKUP(K130,Minimas!$A$11:$G$29,5),IF(AND(H130&gt;2000,H130&lt;2003),VLOOKUP(K130,Minimas!$A$11:$G$29,4),IF(AND(H130&gt;2002,H130&lt;2005),VLOOKUP(K130,Minimas!$A$11:$G$29,3),VLOOKUP(K130,Minimas!$A$11:$G$29,2))))),IF(OR(H130="SEN",H130&lt;1998),VLOOKUP(K130,Minimas!$G$11:$L$26,6),IF(AND(H130&gt;1997,H130&lt;2001),VLOOKUP(K130,Minimas!$G$11:$L$26,5),IF(AND(H130&gt;2000,H130&lt;2003),VLOOKUP(K130,Minimas!$G$11:$L$26,4),IF(AND(H130&gt;2002,H130&lt;2005),VLOOKUP(K130,Minimas!$G$11:$L$26,3),VLOOKUP(K130,Minimas!$G$11:$L$26,2)))))))</f>
        <v>FS 63</v>
      </c>
      <c r="W130" s="62">
        <f t="shared" si="161"/>
        <v>177.01568840947829</v>
      </c>
      <c r="X130" s="63"/>
      <c r="Y130" s="157" t="s">
        <v>131</v>
      </c>
      <c r="AC130" s="90">
        <f>T130-HLOOKUP(V130,Minimas!$C$1:$BN$10,2,FALSE)</f>
        <v>60</v>
      </c>
      <c r="AD130" s="90">
        <f>T130-HLOOKUP(V130,Minimas!$C$1:$BN$10,3,FALSE)</f>
        <v>50</v>
      </c>
      <c r="AE130" s="90">
        <f>T130-HLOOKUP(V130,Minimas!$C$1:$BN$10,4,FALSE)</f>
        <v>40</v>
      </c>
      <c r="AF130" s="90">
        <f>T130-HLOOKUP(V130,Minimas!$C$1:$BN$10,5,FALSE)</f>
        <v>25</v>
      </c>
      <c r="AG130" s="90">
        <f>T130-HLOOKUP(V130,Minimas!$C$1:$BN$10,6,FALSE)</f>
        <v>5</v>
      </c>
      <c r="AH130" s="90">
        <f>T130-HLOOKUP(V130,Minimas!$C$1:$BN$10,7,FALSE)</f>
        <v>-15</v>
      </c>
      <c r="AI130" s="90">
        <f>T130-HLOOKUP(V130,Minimas!$C$1:$BN$10,8,FALSE)</f>
        <v>-35</v>
      </c>
      <c r="AJ130" s="90">
        <f>T130-HLOOKUP(V130,Minimas!$C$1:$BN$10,9,FALSE)</f>
        <v>-55</v>
      </c>
      <c r="AK130" s="90">
        <f>T130-HLOOKUP(V130,Minimas!$C$1:$BN$10,10,FALSE)</f>
        <v>-70</v>
      </c>
      <c r="AL130" s="91" t="str">
        <f t="shared" si="162"/>
        <v>FED +</v>
      </c>
      <c r="AN130" s="5" t="str">
        <f t="shared" si="163"/>
        <v>FED +</v>
      </c>
      <c r="AO130" s="5">
        <f t="shared" si="164"/>
        <v>5</v>
      </c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</row>
    <row r="131" spans="1:124" s="5" customFormat="1" ht="27.95" customHeight="1" x14ac:dyDescent="0.2">
      <c r="B131" s="148" t="s">
        <v>121</v>
      </c>
      <c r="C131" s="161">
        <v>436849</v>
      </c>
      <c r="D131" s="92">
        <v>12</v>
      </c>
      <c r="E131" s="84" t="s">
        <v>108</v>
      </c>
      <c r="F131" s="36" t="s">
        <v>363</v>
      </c>
      <c r="G131" s="37" t="s">
        <v>364</v>
      </c>
      <c r="H131" s="92">
        <v>1991</v>
      </c>
      <c r="I131" s="192" t="s">
        <v>349</v>
      </c>
      <c r="J131" s="35" t="s">
        <v>108</v>
      </c>
      <c r="K131" s="103">
        <v>62.38</v>
      </c>
      <c r="L131" s="38">
        <v>50</v>
      </c>
      <c r="M131" s="39">
        <v>55</v>
      </c>
      <c r="N131" s="39">
        <v>-60</v>
      </c>
      <c r="O131" s="54">
        <f t="shared" si="157"/>
        <v>55</v>
      </c>
      <c r="P131" s="53">
        <v>70</v>
      </c>
      <c r="Q131" s="53">
        <v>75</v>
      </c>
      <c r="R131" s="53">
        <v>80</v>
      </c>
      <c r="S131" s="54">
        <f t="shared" si="158"/>
        <v>80</v>
      </c>
      <c r="T131" s="55">
        <f t="shared" si="159"/>
        <v>135</v>
      </c>
      <c r="U131" s="56" t="str">
        <f t="shared" si="160"/>
        <v>FED + 5</v>
      </c>
      <c r="V131" s="86" t="str">
        <f>IF(E131=0," ",IF(E131="H",IF(OR(E131="SEN",H131&lt;1998),VLOOKUP(K131,Minimas!$A$11:$G$29,6),IF(AND(H131&gt;1997,H131&lt;2001),VLOOKUP(K131,Minimas!$A$11:$G$29,5),IF(AND(H131&gt;2000,H131&lt;2003),VLOOKUP(K131,Minimas!$A$11:$G$29,4),IF(AND(H131&gt;2002,H131&lt;2005),VLOOKUP(K131,Minimas!$A$11:$G$29,3),VLOOKUP(K131,Minimas!$A$11:$G$29,2))))),IF(OR(H131="SEN",H131&lt;1998),VLOOKUP(K131,Minimas!$G$11:$L$26,6),IF(AND(H131&gt;1997,H131&lt;2001),VLOOKUP(K131,Minimas!$G$11:$L$26,5),IF(AND(H131&gt;2000,H131&lt;2003),VLOOKUP(K131,Minimas!$G$11:$L$26,4),IF(AND(H131&gt;2002,H131&lt;2005),VLOOKUP(K131,Minimas!$G$11:$L$26,3),VLOOKUP(K131,Minimas!$G$11:$L$26,2)))))))</f>
        <v>FS 63</v>
      </c>
      <c r="W131" s="62">
        <f t="shared" si="161"/>
        <v>178.00122999522071</v>
      </c>
      <c r="X131" s="63"/>
      <c r="Y131" s="156" t="s">
        <v>319</v>
      </c>
      <c r="AC131" s="90">
        <f>T131-HLOOKUP(V131,Minimas!$C$1:$BN$10,2,FALSE)</f>
        <v>60</v>
      </c>
      <c r="AD131" s="90">
        <f>T131-HLOOKUP(V131,Minimas!$C$1:$BN$10,3,FALSE)</f>
        <v>50</v>
      </c>
      <c r="AE131" s="90">
        <f>T131-HLOOKUP(V131,Minimas!$C$1:$BN$10,4,FALSE)</f>
        <v>40</v>
      </c>
      <c r="AF131" s="90">
        <f>T131-HLOOKUP(V131,Minimas!$C$1:$BN$10,5,FALSE)</f>
        <v>25</v>
      </c>
      <c r="AG131" s="90">
        <f>T131-HLOOKUP(V131,Minimas!$C$1:$BN$10,6,FALSE)</f>
        <v>5</v>
      </c>
      <c r="AH131" s="90">
        <f>T131-HLOOKUP(V131,Minimas!$C$1:$BN$10,7,FALSE)</f>
        <v>-15</v>
      </c>
      <c r="AI131" s="90">
        <f>T131-HLOOKUP(V131,Minimas!$C$1:$BN$10,8,FALSE)</f>
        <v>-35</v>
      </c>
      <c r="AJ131" s="90">
        <f>T131-HLOOKUP(V131,Minimas!$C$1:$BN$10,9,FALSE)</f>
        <v>-55</v>
      </c>
      <c r="AK131" s="90">
        <f>T131-HLOOKUP(V131,Minimas!$C$1:$BN$10,10,FALSE)</f>
        <v>-70</v>
      </c>
      <c r="AL131" s="91" t="str">
        <f t="shared" si="162"/>
        <v>FED +</v>
      </c>
      <c r="AN131" s="5" t="str">
        <f t="shared" si="163"/>
        <v>FED +</v>
      </c>
      <c r="AO131" s="5">
        <f t="shared" si="164"/>
        <v>5</v>
      </c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  <c r="BY131" s="97"/>
    </row>
    <row r="132" spans="1:124" s="5" customFormat="1" ht="27.95" customHeight="1" x14ac:dyDescent="0.2">
      <c r="B132" s="148" t="s">
        <v>125</v>
      </c>
      <c r="C132" s="161">
        <v>409193</v>
      </c>
      <c r="D132" s="92">
        <v>13</v>
      </c>
      <c r="E132" s="84" t="s">
        <v>108</v>
      </c>
      <c r="F132" s="36" t="s">
        <v>365</v>
      </c>
      <c r="G132" s="37" t="s">
        <v>132</v>
      </c>
      <c r="H132" s="92">
        <v>1997</v>
      </c>
      <c r="I132" s="192" t="s">
        <v>555</v>
      </c>
      <c r="J132" s="35" t="s">
        <v>108</v>
      </c>
      <c r="K132" s="103">
        <v>62.95</v>
      </c>
      <c r="L132" s="38">
        <v>59</v>
      </c>
      <c r="M132" s="39">
        <v>62</v>
      </c>
      <c r="N132" s="39">
        <v>-65</v>
      </c>
      <c r="O132" s="54">
        <f t="shared" si="157"/>
        <v>62</v>
      </c>
      <c r="P132" s="53">
        <v>68</v>
      </c>
      <c r="Q132" s="53">
        <v>72</v>
      </c>
      <c r="R132" s="53">
        <v>-76</v>
      </c>
      <c r="S132" s="54">
        <f t="shared" si="158"/>
        <v>72</v>
      </c>
      <c r="T132" s="55">
        <f t="shared" si="159"/>
        <v>134</v>
      </c>
      <c r="U132" s="56" t="str">
        <f t="shared" si="160"/>
        <v>FED + 4</v>
      </c>
      <c r="V132" s="86" t="str">
        <f>IF(E132=0," ",IF(E132="H",IF(OR(E132="SEN",H132&lt;1998),VLOOKUP(K132,Minimas!$A$11:$G$29,6),IF(AND(H132&gt;1997,H132&lt;2001),VLOOKUP(K132,Minimas!$A$11:$G$29,5),IF(AND(H132&gt;2000,H132&lt;2003),VLOOKUP(K132,Minimas!$A$11:$G$29,4),IF(AND(H132&gt;2002,H132&lt;2005),VLOOKUP(K132,Minimas!$A$11:$G$29,3),VLOOKUP(K132,Minimas!$A$11:$G$29,2))))),IF(OR(H132="SEN",H132&lt;1998),VLOOKUP(K132,Minimas!$G$11:$L$26,6),IF(AND(H132&gt;1997,H132&lt;2001),VLOOKUP(K132,Minimas!$G$11:$L$26,5),IF(AND(H132&gt;2000,H132&lt;2003),VLOOKUP(K132,Minimas!$G$11:$L$26,4),IF(AND(H132&gt;2002,H132&lt;2005),VLOOKUP(K132,Minimas!$G$11:$L$26,3),VLOOKUP(K132,Minimas!$G$11:$L$26,2)))))))</f>
        <v>FS 63</v>
      </c>
      <c r="W132" s="62">
        <f t="shared" si="161"/>
        <v>175.7044610879266</v>
      </c>
      <c r="X132" s="63"/>
      <c r="Y132" s="156" t="s">
        <v>319</v>
      </c>
      <c r="AC132" s="90">
        <f>T132-HLOOKUP(V132,Minimas!$C$1:$BN$10,2,FALSE)</f>
        <v>59</v>
      </c>
      <c r="AD132" s="90">
        <f>T132-HLOOKUP(V132,Minimas!$C$1:$BN$10,3,FALSE)</f>
        <v>49</v>
      </c>
      <c r="AE132" s="90">
        <f>T132-HLOOKUP(V132,Minimas!$C$1:$BN$10,4,FALSE)</f>
        <v>39</v>
      </c>
      <c r="AF132" s="90">
        <f>T132-HLOOKUP(V132,Minimas!$C$1:$BN$10,5,FALSE)</f>
        <v>24</v>
      </c>
      <c r="AG132" s="90">
        <f>T132-HLOOKUP(V132,Minimas!$C$1:$BN$10,6,FALSE)</f>
        <v>4</v>
      </c>
      <c r="AH132" s="90">
        <f>T132-HLOOKUP(V132,Minimas!$C$1:$BN$10,7,FALSE)</f>
        <v>-16</v>
      </c>
      <c r="AI132" s="90">
        <f>T132-HLOOKUP(V132,Minimas!$C$1:$BN$10,8,FALSE)</f>
        <v>-36</v>
      </c>
      <c r="AJ132" s="90">
        <f>T132-HLOOKUP(V132,Minimas!$C$1:$BN$10,9,FALSE)</f>
        <v>-56</v>
      </c>
      <c r="AK132" s="90">
        <f>T132-HLOOKUP(V132,Minimas!$C$1:$BN$10,10,FALSE)</f>
        <v>-71</v>
      </c>
      <c r="AL132" s="91" t="str">
        <f t="shared" si="162"/>
        <v>FED +</v>
      </c>
      <c r="AN132" s="5" t="str">
        <f t="shared" si="163"/>
        <v>FED +</v>
      </c>
      <c r="AO132" s="5">
        <f t="shared" si="164"/>
        <v>4</v>
      </c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  <c r="BW132" s="97"/>
      <c r="BX132" s="97"/>
      <c r="BY132" s="97"/>
    </row>
    <row r="133" spans="1:124" s="5" customFormat="1" ht="27.95" customHeight="1" x14ac:dyDescent="0.2">
      <c r="B133" s="148" t="s">
        <v>124</v>
      </c>
      <c r="C133" s="161">
        <v>436933</v>
      </c>
      <c r="D133" s="92">
        <v>14</v>
      </c>
      <c r="E133" s="84" t="s">
        <v>108</v>
      </c>
      <c r="F133" s="36" t="s">
        <v>366</v>
      </c>
      <c r="G133" s="37" t="s">
        <v>650</v>
      </c>
      <c r="H133" s="92">
        <v>1989</v>
      </c>
      <c r="I133" s="192" t="s">
        <v>620</v>
      </c>
      <c r="J133" s="35" t="s">
        <v>108</v>
      </c>
      <c r="K133" s="103">
        <v>61.8</v>
      </c>
      <c r="L133" s="38">
        <v>53</v>
      </c>
      <c r="M133" s="39">
        <v>-58</v>
      </c>
      <c r="N133" s="39">
        <v>58</v>
      </c>
      <c r="O133" s="54">
        <f t="shared" si="157"/>
        <v>58</v>
      </c>
      <c r="P133" s="53">
        <v>65</v>
      </c>
      <c r="Q133" s="53">
        <v>72</v>
      </c>
      <c r="R133" s="53">
        <v>75</v>
      </c>
      <c r="S133" s="54">
        <f t="shared" si="158"/>
        <v>75</v>
      </c>
      <c r="T133" s="55">
        <f t="shared" si="159"/>
        <v>133</v>
      </c>
      <c r="U133" s="56" t="str">
        <f t="shared" si="160"/>
        <v>FED + 3</v>
      </c>
      <c r="V133" s="86" t="str">
        <f>IF(E133=0," ",IF(E133="H",IF(OR(E133="SEN",H133&lt;1998),VLOOKUP(K133,Minimas!$A$11:$G$29,6),IF(AND(H133&gt;1997,H133&lt;2001),VLOOKUP(K133,Minimas!$A$11:$G$29,5),IF(AND(H133&gt;2000,H133&lt;2003),VLOOKUP(K133,Minimas!$A$11:$G$29,4),IF(AND(H133&gt;2002,H133&lt;2005),VLOOKUP(K133,Minimas!$A$11:$G$29,3),VLOOKUP(K133,Minimas!$A$11:$G$29,2))))),IF(OR(H133="SEN",H133&lt;1998),VLOOKUP(K133,Minimas!$G$11:$L$26,6),IF(AND(H133&gt;1997,H133&lt;2001),VLOOKUP(K133,Minimas!$G$11:$L$26,5),IF(AND(H133&gt;2000,H133&lt;2003),VLOOKUP(K133,Minimas!$G$11:$L$26,4),IF(AND(H133&gt;2002,H133&lt;2005),VLOOKUP(K133,Minimas!$G$11:$L$26,3),VLOOKUP(K133,Minimas!$G$11:$L$26,2)))))))</f>
        <v>FS 63</v>
      </c>
      <c r="W133" s="62">
        <f t="shared" si="161"/>
        <v>176.37726238954141</v>
      </c>
      <c r="X133" s="63"/>
      <c r="Y133" s="156" t="s">
        <v>319</v>
      </c>
      <c r="AC133" s="90">
        <f>T133-HLOOKUP(V133,Minimas!$C$1:$BN$10,2,FALSE)</f>
        <v>58</v>
      </c>
      <c r="AD133" s="90">
        <f>T133-HLOOKUP(V133,Minimas!$C$1:$BN$10,3,FALSE)</f>
        <v>48</v>
      </c>
      <c r="AE133" s="90">
        <f>T133-HLOOKUP(V133,Minimas!$C$1:$BN$10,4,FALSE)</f>
        <v>38</v>
      </c>
      <c r="AF133" s="90">
        <f>T133-HLOOKUP(V133,Minimas!$C$1:$BN$10,5,FALSE)</f>
        <v>23</v>
      </c>
      <c r="AG133" s="90">
        <f>T133-HLOOKUP(V133,Minimas!$C$1:$BN$10,6,FALSE)</f>
        <v>3</v>
      </c>
      <c r="AH133" s="90">
        <f>T133-HLOOKUP(V133,Minimas!$C$1:$BN$10,7,FALSE)</f>
        <v>-17</v>
      </c>
      <c r="AI133" s="90">
        <f>T133-HLOOKUP(V133,Minimas!$C$1:$BN$10,8,FALSE)</f>
        <v>-37</v>
      </c>
      <c r="AJ133" s="90">
        <f>T133-HLOOKUP(V133,Minimas!$C$1:$BN$10,9,FALSE)</f>
        <v>-57</v>
      </c>
      <c r="AK133" s="90">
        <f>T133-HLOOKUP(V133,Minimas!$C$1:$BN$10,10,FALSE)</f>
        <v>-72</v>
      </c>
      <c r="AL133" s="91" t="str">
        <f t="shared" si="162"/>
        <v>FED +</v>
      </c>
      <c r="AN133" s="5" t="str">
        <f t="shared" si="163"/>
        <v>FED +</v>
      </c>
      <c r="AO133" s="5">
        <f t="shared" si="164"/>
        <v>3</v>
      </c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</row>
    <row r="134" spans="1:124" s="5" customFormat="1" ht="27.95" customHeight="1" x14ac:dyDescent="0.2">
      <c r="B134" s="148" t="s">
        <v>129</v>
      </c>
      <c r="C134" s="161">
        <v>360545</v>
      </c>
      <c r="D134" s="92">
        <v>15</v>
      </c>
      <c r="E134" s="84" t="s">
        <v>108</v>
      </c>
      <c r="F134" s="36" t="s">
        <v>207</v>
      </c>
      <c r="G134" s="37" t="s">
        <v>173</v>
      </c>
      <c r="H134" s="92">
        <v>1993</v>
      </c>
      <c r="I134" s="192" t="s">
        <v>471</v>
      </c>
      <c r="J134" s="35" t="s">
        <v>108</v>
      </c>
      <c r="K134" s="103">
        <v>62.4</v>
      </c>
      <c r="L134" s="38">
        <v>54</v>
      </c>
      <c r="M134" s="39">
        <v>56</v>
      </c>
      <c r="N134" s="39">
        <v>58</v>
      </c>
      <c r="O134" s="54">
        <f t="shared" si="157"/>
        <v>58</v>
      </c>
      <c r="P134" s="53">
        <v>70</v>
      </c>
      <c r="Q134" s="53">
        <v>75</v>
      </c>
      <c r="R134" s="53">
        <v>-77</v>
      </c>
      <c r="S134" s="54">
        <f t="shared" si="158"/>
        <v>75</v>
      </c>
      <c r="T134" s="55">
        <f t="shared" si="159"/>
        <v>133</v>
      </c>
      <c r="U134" s="56" t="str">
        <f t="shared" si="160"/>
        <v>FED + 3</v>
      </c>
      <c r="V134" s="86" t="str">
        <f>IF(E134=0," ",IF(E134="H",IF(OR(E134="SEN",H134&lt;1998),VLOOKUP(K134,Minimas!$A$11:$G$29,6),IF(AND(H134&gt;1997,H134&lt;2001),VLOOKUP(K134,Minimas!$A$11:$G$29,5),IF(AND(H134&gt;2000,H134&lt;2003),VLOOKUP(K134,Minimas!$A$11:$G$29,4),IF(AND(H134&gt;2002,H134&lt;2005),VLOOKUP(K134,Minimas!$A$11:$G$29,3),VLOOKUP(K134,Minimas!$A$11:$G$29,2))))),IF(OR(H134="SEN",H134&lt;1998),VLOOKUP(K134,Minimas!$G$11:$L$26,6),IF(AND(H134&gt;1997,H134&lt;2001),VLOOKUP(K134,Minimas!$G$11:$L$26,5),IF(AND(H134&gt;2000,H134&lt;2003),VLOOKUP(K134,Minimas!$G$11:$L$26,4),IF(AND(H134&gt;2002,H134&lt;2005),VLOOKUP(K134,Minimas!$G$11:$L$26,3),VLOOKUP(K134,Minimas!$G$11:$L$26,2)))))))</f>
        <v>FS 63</v>
      </c>
      <c r="W134" s="62">
        <f t="shared" si="161"/>
        <v>175.32969715373378</v>
      </c>
      <c r="X134" s="63"/>
      <c r="Y134" s="155" t="s">
        <v>441</v>
      </c>
      <c r="AC134" s="90">
        <f>T134-HLOOKUP(V134,Minimas!$C$1:$BN$10,2,FALSE)</f>
        <v>58</v>
      </c>
      <c r="AD134" s="90">
        <f>T134-HLOOKUP(V134,Minimas!$C$1:$BN$10,3,FALSE)</f>
        <v>48</v>
      </c>
      <c r="AE134" s="90">
        <f>T134-HLOOKUP(V134,Minimas!$C$1:$BN$10,4,FALSE)</f>
        <v>38</v>
      </c>
      <c r="AF134" s="90">
        <f>T134-HLOOKUP(V134,Minimas!$C$1:$BN$10,5,FALSE)</f>
        <v>23</v>
      </c>
      <c r="AG134" s="90">
        <f>T134-HLOOKUP(V134,Minimas!$C$1:$BN$10,6,FALSE)</f>
        <v>3</v>
      </c>
      <c r="AH134" s="90">
        <f>T134-HLOOKUP(V134,Minimas!$C$1:$BN$10,7,FALSE)</f>
        <v>-17</v>
      </c>
      <c r="AI134" s="90">
        <f>T134-HLOOKUP(V134,Minimas!$C$1:$BN$10,8,FALSE)</f>
        <v>-37</v>
      </c>
      <c r="AJ134" s="90">
        <f>T134-HLOOKUP(V134,Minimas!$C$1:$BN$10,9,FALSE)</f>
        <v>-57</v>
      </c>
      <c r="AK134" s="90">
        <f>T134-HLOOKUP(V134,Minimas!$C$1:$BN$10,10,FALSE)</f>
        <v>-72</v>
      </c>
      <c r="AL134" s="91" t="str">
        <f t="shared" si="162"/>
        <v>FED +</v>
      </c>
      <c r="AN134" s="5" t="str">
        <f t="shared" si="163"/>
        <v>FED +</v>
      </c>
      <c r="AO134" s="5">
        <f t="shared" si="164"/>
        <v>3</v>
      </c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  <c r="BY134" s="97"/>
    </row>
    <row r="135" spans="1:124" s="5" customFormat="1" ht="27.95" customHeight="1" x14ac:dyDescent="0.2">
      <c r="B135" s="148" t="s">
        <v>125</v>
      </c>
      <c r="C135" s="161">
        <v>430206</v>
      </c>
      <c r="D135" s="92">
        <v>16</v>
      </c>
      <c r="E135" s="84" t="s">
        <v>108</v>
      </c>
      <c r="F135" s="36" t="s">
        <v>369</v>
      </c>
      <c r="G135" s="37" t="s">
        <v>171</v>
      </c>
      <c r="H135" s="92">
        <v>1997</v>
      </c>
      <c r="I135" s="192" t="s">
        <v>621</v>
      </c>
      <c r="J135" s="35" t="s">
        <v>108</v>
      </c>
      <c r="K135" s="103">
        <v>62.95</v>
      </c>
      <c r="L135" s="38">
        <v>49</v>
      </c>
      <c r="M135" s="39">
        <v>52</v>
      </c>
      <c r="N135" s="39">
        <v>55</v>
      </c>
      <c r="O135" s="54">
        <f t="shared" si="157"/>
        <v>55</v>
      </c>
      <c r="P135" s="53">
        <v>70</v>
      </c>
      <c r="Q135" s="53">
        <v>75</v>
      </c>
      <c r="R135" s="53">
        <v>77</v>
      </c>
      <c r="S135" s="54">
        <f t="shared" si="158"/>
        <v>77</v>
      </c>
      <c r="T135" s="55">
        <f t="shared" si="159"/>
        <v>132</v>
      </c>
      <c r="U135" s="56" t="str">
        <f t="shared" si="160"/>
        <v>FED + 2</v>
      </c>
      <c r="V135" s="86" t="str">
        <f>IF(E135=0," ",IF(E135="H",IF(OR(E135="SEN",H135&lt;1998),VLOOKUP(K135,Minimas!$A$11:$G$29,6),IF(AND(H135&gt;1997,H135&lt;2001),VLOOKUP(K135,Minimas!$A$11:$G$29,5),IF(AND(H135&gt;2000,H135&lt;2003),VLOOKUP(K135,Minimas!$A$11:$G$29,4),IF(AND(H135&gt;2002,H135&lt;2005),VLOOKUP(K135,Minimas!$A$11:$G$29,3),VLOOKUP(K135,Minimas!$A$11:$G$29,2))))),IF(OR(H135="SEN",H135&lt;1998),VLOOKUP(K135,Minimas!$G$11:$L$26,6),IF(AND(H135&gt;1997,H135&lt;2001),VLOOKUP(K135,Minimas!$G$11:$L$26,5),IF(AND(H135&gt;2000,H135&lt;2003),VLOOKUP(K135,Minimas!$G$11:$L$26,4),IF(AND(H135&gt;2002,H135&lt;2005),VLOOKUP(K135,Minimas!$G$11:$L$26,3),VLOOKUP(K135,Minimas!$G$11:$L$26,2)))))))</f>
        <v>FS 63</v>
      </c>
      <c r="W135" s="62">
        <f t="shared" si="161"/>
        <v>173.08200644482321</v>
      </c>
      <c r="X135" s="63"/>
      <c r="Y135" s="156" t="s">
        <v>319</v>
      </c>
      <c r="AC135" s="90">
        <f>T135-HLOOKUP(V135,Minimas!$C$1:$BN$10,2,FALSE)</f>
        <v>57</v>
      </c>
      <c r="AD135" s="90">
        <f>T135-HLOOKUP(V135,Minimas!$C$1:$BN$10,3,FALSE)</f>
        <v>47</v>
      </c>
      <c r="AE135" s="90">
        <f>T135-HLOOKUP(V135,Minimas!$C$1:$BN$10,4,FALSE)</f>
        <v>37</v>
      </c>
      <c r="AF135" s="90">
        <f>T135-HLOOKUP(V135,Minimas!$C$1:$BN$10,5,FALSE)</f>
        <v>22</v>
      </c>
      <c r="AG135" s="90">
        <f>T135-HLOOKUP(V135,Minimas!$C$1:$BN$10,6,FALSE)</f>
        <v>2</v>
      </c>
      <c r="AH135" s="90">
        <f>T135-HLOOKUP(V135,Minimas!$C$1:$BN$10,7,FALSE)</f>
        <v>-18</v>
      </c>
      <c r="AI135" s="90">
        <f>T135-HLOOKUP(V135,Minimas!$C$1:$BN$10,8,FALSE)</f>
        <v>-38</v>
      </c>
      <c r="AJ135" s="90">
        <f>T135-HLOOKUP(V135,Minimas!$C$1:$BN$10,9,FALSE)</f>
        <v>-58</v>
      </c>
      <c r="AK135" s="90">
        <f>T135-HLOOKUP(V135,Minimas!$C$1:$BN$10,10,FALSE)</f>
        <v>-73</v>
      </c>
      <c r="AL135" s="91" t="str">
        <f t="shared" si="162"/>
        <v>FED +</v>
      </c>
      <c r="AN135" s="5" t="str">
        <f t="shared" si="163"/>
        <v>FED +</v>
      </c>
      <c r="AO135" s="5">
        <f t="shared" si="164"/>
        <v>2</v>
      </c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  <c r="BY135" s="97"/>
    </row>
    <row r="136" spans="1:124" s="5" customFormat="1" ht="27.95" customHeight="1" x14ac:dyDescent="0.2">
      <c r="B136" s="201" t="s">
        <v>121</v>
      </c>
      <c r="C136" s="202">
        <v>414500</v>
      </c>
      <c r="D136" s="106">
        <v>17</v>
      </c>
      <c r="E136" s="107" t="s">
        <v>108</v>
      </c>
      <c r="F136" s="108" t="s">
        <v>202</v>
      </c>
      <c r="G136" s="109" t="s">
        <v>359</v>
      </c>
      <c r="H136" s="106">
        <v>1988</v>
      </c>
      <c r="I136" s="204" t="s">
        <v>561</v>
      </c>
      <c r="J136" s="110" t="s">
        <v>203</v>
      </c>
      <c r="K136" s="111">
        <v>59.85</v>
      </c>
      <c r="L136" s="112">
        <v>53</v>
      </c>
      <c r="M136" s="113">
        <v>56</v>
      </c>
      <c r="N136" s="113">
        <v>-59</v>
      </c>
      <c r="O136" s="114">
        <f t="shared" si="157"/>
        <v>56</v>
      </c>
      <c r="P136" s="115">
        <v>65</v>
      </c>
      <c r="Q136" s="115">
        <v>70</v>
      </c>
      <c r="R136" s="115">
        <v>74</v>
      </c>
      <c r="S136" s="114">
        <f t="shared" si="158"/>
        <v>74</v>
      </c>
      <c r="T136" s="116">
        <f t="shared" si="159"/>
        <v>130</v>
      </c>
      <c r="U136" s="117" t="str">
        <f t="shared" si="160"/>
        <v>FED + 0</v>
      </c>
      <c r="V136" s="118" t="str">
        <f>IF(E136=0," ",IF(E136="H",IF(OR(E136="SEN",H136&lt;1998),VLOOKUP(K136,Minimas!$A$11:$G$29,6),IF(AND(H136&gt;1997,H136&lt;2001),VLOOKUP(K136,Minimas!$A$11:$G$29,5),IF(AND(H136&gt;2000,H136&lt;2003),VLOOKUP(K136,Minimas!$A$11:$G$29,4),IF(AND(H136&gt;2002,H136&lt;2005),VLOOKUP(K136,Minimas!$A$11:$G$29,3),VLOOKUP(K136,Minimas!$A$11:$G$29,2))))),IF(OR(H136="SEN",H136&lt;1998),VLOOKUP(K136,Minimas!$G$11:$L$26,6),IF(AND(H136&gt;1997,H136&lt;2001),VLOOKUP(K136,Minimas!$G$11:$L$26,5),IF(AND(H136&gt;2000,H136&lt;2003),VLOOKUP(K136,Minimas!$G$11:$L$26,4),IF(AND(H136&gt;2002,H136&lt;2005),VLOOKUP(K136,Minimas!$G$11:$L$26,3),VLOOKUP(K136,Minimas!$G$11:$L$26,2)))))))</f>
        <v>FS 63</v>
      </c>
      <c r="W136" s="119">
        <f t="shared" si="161"/>
        <v>175.92073780775962</v>
      </c>
      <c r="X136" s="63"/>
      <c r="Y136" s="157" t="s">
        <v>131</v>
      </c>
      <c r="AC136" s="90">
        <f>T136-HLOOKUP(V136,Minimas!$C$1:$BN$10,2,FALSE)</f>
        <v>55</v>
      </c>
      <c r="AD136" s="90">
        <f>T136-HLOOKUP(V136,Minimas!$C$1:$BN$10,3,FALSE)</f>
        <v>45</v>
      </c>
      <c r="AE136" s="90">
        <f>T136-HLOOKUP(V136,Minimas!$C$1:$BN$10,4,FALSE)</f>
        <v>35</v>
      </c>
      <c r="AF136" s="90">
        <f>T136-HLOOKUP(V136,Minimas!$C$1:$BN$10,5,FALSE)</f>
        <v>20</v>
      </c>
      <c r="AG136" s="90">
        <f>T136-HLOOKUP(V136,Minimas!$C$1:$BN$10,6,FALSE)</f>
        <v>0</v>
      </c>
      <c r="AH136" s="90">
        <f>T136-HLOOKUP(V136,Minimas!$C$1:$BN$10,7,FALSE)</f>
        <v>-20</v>
      </c>
      <c r="AI136" s="90">
        <f>T136-HLOOKUP(V136,Minimas!$C$1:$BN$10,8,FALSE)</f>
        <v>-40</v>
      </c>
      <c r="AJ136" s="90">
        <f>T136-HLOOKUP(V136,Minimas!$C$1:$BN$10,9,FALSE)</f>
        <v>-60</v>
      </c>
      <c r="AK136" s="90">
        <f>T136-HLOOKUP(V136,Minimas!$C$1:$BN$10,10,FALSE)</f>
        <v>-75</v>
      </c>
      <c r="AL136" s="91" t="str">
        <f t="shared" si="162"/>
        <v>FED +</v>
      </c>
      <c r="AN136" s="5" t="str">
        <f t="shared" si="163"/>
        <v>FED +</v>
      </c>
      <c r="AO136" s="5">
        <f t="shared" si="164"/>
        <v>0</v>
      </c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  <c r="BY136" s="97"/>
    </row>
    <row r="137" spans="1:124" s="5" customFormat="1" ht="27.95" customHeight="1" x14ac:dyDescent="0.2">
      <c r="B137" s="148" t="s">
        <v>189</v>
      </c>
      <c r="C137" s="161">
        <v>146079</v>
      </c>
      <c r="D137" s="92">
        <v>18</v>
      </c>
      <c r="E137" s="84" t="s">
        <v>108</v>
      </c>
      <c r="F137" s="36" t="s">
        <v>204</v>
      </c>
      <c r="G137" s="37" t="s">
        <v>651</v>
      </c>
      <c r="H137" s="92">
        <v>1996</v>
      </c>
      <c r="I137" s="192" t="s">
        <v>558</v>
      </c>
      <c r="J137" s="35" t="s">
        <v>108</v>
      </c>
      <c r="K137" s="103">
        <v>60.94</v>
      </c>
      <c r="L137" s="38">
        <v>58</v>
      </c>
      <c r="M137" s="39">
        <v>60</v>
      </c>
      <c r="N137" s="39">
        <v>-63</v>
      </c>
      <c r="O137" s="54">
        <f t="shared" si="157"/>
        <v>60</v>
      </c>
      <c r="P137" s="53">
        <v>68</v>
      </c>
      <c r="Q137" s="53">
        <v>70</v>
      </c>
      <c r="R137" s="53">
        <v>-74</v>
      </c>
      <c r="S137" s="54">
        <f t="shared" si="158"/>
        <v>70</v>
      </c>
      <c r="T137" s="55">
        <f t="shared" si="159"/>
        <v>130</v>
      </c>
      <c r="U137" s="56" t="str">
        <f t="shared" si="160"/>
        <v>FED + 0</v>
      </c>
      <c r="V137" s="86" t="str">
        <f>IF(E137=0," ",IF(E137="H",IF(OR(E137="SEN",H137&lt;1998),VLOOKUP(K137,Minimas!$A$11:$G$29,6),IF(AND(H137&gt;1997,H137&lt;2001),VLOOKUP(K137,Minimas!$A$11:$G$29,5),IF(AND(H137&gt;2000,H137&lt;2003),VLOOKUP(K137,Minimas!$A$11:$G$29,4),IF(AND(H137&gt;2002,H137&lt;2005),VLOOKUP(K137,Minimas!$A$11:$G$29,3),VLOOKUP(K137,Minimas!$A$11:$G$29,2))))),IF(OR(H137="SEN",H137&lt;1998),VLOOKUP(K137,Minimas!$G$11:$L$26,6),IF(AND(H137&gt;1997,H137&lt;2001),VLOOKUP(K137,Minimas!$G$11:$L$26,5),IF(AND(H137&gt;2000,H137&lt;2003),VLOOKUP(K137,Minimas!$G$11:$L$26,4),IF(AND(H137&gt;2002,H137&lt;2005),VLOOKUP(K137,Minimas!$G$11:$L$26,3),VLOOKUP(K137,Minimas!$G$11:$L$26,2)))))))</f>
        <v>FS 63</v>
      </c>
      <c r="W137" s="62">
        <f t="shared" si="161"/>
        <v>173.91445391562985</v>
      </c>
      <c r="X137" s="63"/>
      <c r="Y137" s="157" t="s">
        <v>131</v>
      </c>
      <c r="AC137" s="90">
        <f>T137-HLOOKUP(V137,Minimas!$C$1:$BN$10,2,FALSE)</f>
        <v>55</v>
      </c>
      <c r="AD137" s="90">
        <f>T137-HLOOKUP(V137,Minimas!$C$1:$BN$10,3,FALSE)</f>
        <v>45</v>
      </c>
      <c r="AE137" s="90">
        <f>T137-HLOOKUP(V137,Minimas!$C$1:$BN$10,4,FALSE)</f>
        <v>35</v>
      </c>
      <c r="AF137" s="90">
        <f>T137-HLOOKUP(V137,Minimas!$C$1:$BN$10,5,FALSE)</f>
        <v>20</v>
      </c>
      <c r="AG137" s="90">
        <f>T137-HLOOKUP(V137,Minimas!$C$1:$BN$10,6,FALSE)</f>
        <v>0</v>
      </c>
      <c r="AH137" s="90">
        <f>T137-HLOOKUP(V137,Minimas!$C$1:$BN$10,7,FALSE)</f>
        <v>-20</v>
      </c>
      <c r="AI137" s="90">
        <f>T137-HLOOKUP(V137,Minimas!$C$1:$BN$10,8,FALSE)</f>
        <v>-40</v>
      </c>
      <c r="AJ137" s="90">
        <f>T137-HLOOKUP(V137,Minimas!$C$1:$BN$10,9,FALSE)</f>
        <v>-60</v>
      </c>
      <c r="AK137" s="90">
        <f>T137-HLOOKUP(V137,Minimas!$C$1:$BN$10,10,FALSE)</f>
        <v>-75</v>
      </c>
      <c r="AL137" s="91" t="str">
        <f t="shared" si="162"/>
        <v>FED +</v>
      </c>
      <c r="AN137" s="5" t="str">
        <f t="shared" si="163"/>
        <v>FED +</v>
      </c>
      <c r="AO137" s="5">
        <f t="shared" si="164"/>
        <v>0</v>
      </c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  <c r="BY137" s="97"/>
    </row>
    <row r="138" spans="1:124" s="5" customFormat="1" ht="27.95" customHeight="1" x14ac:dyDescent="0.2">
      <c r="B138" s="148" t="s">
        <v>128</v>
      </c>
      <c r="C138" s="161">
        <v>432889</v>
      </c>
      <c r="D138" s="92">
        <v>19</v>
      </c>
      <c r="E138" s="84" t="s">
        <v>108</v>
      </c>
      <c r="F138" s="36" t="s">
        <v>208</v>
      </c>
      <c r="G138" s="37" t="s">
        <v>209</v>
      </c>
      <c r="H138" s="92">
        <v>1995</v>
      </c>
      <c r="I138" s="192" t="s">
        <v>622</v>
      </c>
      <c r="J138" s="35" t="s">
        <v>108</v>
      </c>
      <c r="K138" s="103">
        <v>62.95</v>
      </c>
      <c r="L138" s="38">
        <v>50</v>
      </c>
      <c r="M138" s="39">
        <v>-55</v>
      </c>
      <c r="N138" s="39">
        <v>55</v>
      </c>
      <c r="O138" s="54">
        <f t="shared" si="157"/>
        <v>55</v>
      </c>
      <c r="P138" s="53">
        <v>70</v>
      </c>
      <c r="Q138" s="53">
        <v>-75</v>
      </c>
      <c r="R138" s="53">
        <v>75</v>
      </c>
      <c r="S138" s="54">
        <f t="shared" si="158"/>
        <v>75</v>
      </c>
      <c r="T138" s="55">
        <f t="shared" si="159"/>
        <v>130</v>
      </c>
      <c r="U138" s="56" t="str">
        <f t="shared" si="160"/>
        <v>FED + 0</v>
      </c>
      <c r="V138" s="86" t="str">
        <f>IF(E138=0," ",IF(E138="H",IF(OR(E138="SEN",H138&lt;1998),VLOOKUP(K138,Minimas!$A$11:$G$29,6),IF(AND(H138&gt;1997,H138&lt;2001),VLOOKUP(K138,Minimas!$A$11:$G$29,5),IF(AND(H138&gt;2000,H138&lt;2003),VLOOKUP(K138,Minimas!$A$11:$G$29,4),IF(AND(H138&gt;2002,H138&lt;2005),VLOOKUP(K138,Minimas!$A$11:$G$29,3),VLOOKUP(K138,Minimas!$A$11:$G$29,2))))),IF(OR(H138="SEN",H138&lt;1998),VLOOKUP(K138,Minimas!$G$11:$L$26,6),IF(AND(H138&gt;1997,H138&lt;2001),VLOOKUP(K138,Minimas!$G$11:$L$26,5),IF(AND(H138&gt;2000,H138&lt;2003),VLOOKUP(K138,Minimas!$G$11:$L$26,4),IF(AND(H138&gt;2002,H138&lt;2005),VLOOKUP(K138,Minimas!$G$11:$L$26,3),VLOOKUP(K138,Minimas!$G$11:$L$26,2)))))))</f>
        <v>FS 63</v>
      </c>
      <c r="W138" s="62">
        <f t="shared" si="161"/>
        <v>170.45955180171984</v>
      </c>
      <c r="X138" s="63"/>
      <c r="Y138" s="157" t="s">
        <v>131</v>
      </c>
      <c r="AC138" s="90">
        <f>T138-HLOOKUP(V138,Minimas!$C$1:$BN$10,2,FALSE)</f>
        <v>55</v>
      </c>
      <c r="AD138" s="90">
        <f>T138-HLOOKUP(V138,Minimas!$C$1:$BN$10,3,FALSE)</f>
        <v>45</v>
      </c>
      <c r="AE138" s="90">
        <f>T138-HLOOKUP(V138,Minimas!$C$1:$BN$10,4,FALSE)</f>
        <v>35</v>
      </c>
      <c r="AF138" s="90">
        <f>T138-HLOOKUP(V138,Minimas!$C$1:$BN$10,5,FALSE)</f>
        <v>20</v>
      </c>
      <c r="AG138" s="90">
        <f>T138-HLOOKUP(V138,Minimas!$C$1:$BN$10,6,FALSE)</f>
        <v>0</v>
      </c>
      <c r="AH138" s="90">
        <f>T138-HLOOKUP(V138,Minimas!$C$1:$BN$10,7,FALSE)</f>
        <v>-20</v>
      </c>
      <c r="AI138" s="90">
        <f>T138-HLOOKUP(V138,Minimas!$C$1:$BN$10,8,FALSE)</f>
        <v>-40</v>
      </c>
      <c r="AJ138" s="90">
        <f>T138-HLOOKUP(V138,Minimas!$C$1:$BN$10,9,FALSE)</f>
        <v>-60</v>
      </c>
      <c r="AK138" s="90">
        <f>T138-HLOOKUP(V138,Minimas!$C$1:$BN$10,10,FALSE)</f>
        <v>-75</v>
      </c>
      <c r="AL138" s="91" t="str">
        <f t="shared" si="162"/>
        <v>FED +</v>
      </c>
      <c r="AN138" s="5" t="str">
        <f t="shared" si="163"/>
        <v>FED +</v>
      </c>
      <c r="AO138" s="5">
        <f t="shared" si="164"/>
        <v>0</v>
      </c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  <c r="BY138" s="97"/>
    </row>
    <row r="139" spans="1:124" s="5" customFormat="1" ht="27.95" customHeight="1" x14ac:dyDescent="0.2">
      <c r="B139" s="148" t="s">
        <v>122</v>
      </c>
      <c r="C139" s="161">
        <v>438195</v>
      </c>
      <c r="D139" s="92">
        <v>20</v>
      </c>
      <c r="E139" s="84" t="s">
        <v>108</v>
      </c>
      <c r="F139" s="36" t="s">
        <v>370</v>
      </c>
      <c r="G139" s="37" t="s">
        <v>652</v>
      </c>
      <c r="H139" s="92">
        <v>1990</v>
      </c>
      <c r="I139" s="192" t="s">
        <v>614</v>
      </c>
      <c r="J139" s="35" t="s">
        <v>108</v>
      </c>
      <c r="K139" s="103">
        <v>61.8</v>
      </c>
      <c r="L139" s="38">
        <v>-55</v>
      </c>
      <c r="M139" s="39">
        <v>-58</v>
      </c>
      <c r="N139" s="39">
        <v>58</v>
      </c>
      <c r="O139" s="54">
        <f t="shared" si="157"/>
        <v>58</v>
      </c>
      <c r="P139" s="53">
        <v>-72</v>
      </c>
      <c r="Q139" s="53">
        <v>72</v>
      </c>
      <c r="R139" s="53">
        <v>-75</v>
      </c>
      <c r="S139" s="54">
        <f t="shared" si="158"/>
        <v>72</v>
      </c>
      <c r="T139" s="55">
        <f t="shared" si="159"/>
        <v>130</v>
      </c>
      <c r="U139" s="56" t="str">
        <f t="shared" si="160"/>
        <v>FED + 0</v>
      </c>
      <c r="V139" s="86" t="str">
        <f>IF(E139=0," ",IF(E139="H",IF(OR(E139="SEN",H139&lt;1998),VLOOKUP(K139,Minimas!$A$11:$G$29,6),IF(AND(H139&gt;1997,H139&lt;2001),VLOOKUP(K139,Minimas!$A$11:$G$29,5),IF(AND(H139&gt;2000,H139&lt;2003),VLOOKUP(K139,Minimas!$A$11:$G$29,4),IF(AND(H139&gt;2002,H139&lt;2005),VLOOKUP(K139,Minimas!$A$11:$G$29,3),VLOOKUP(K139,Minimas!$A$11:$G$29,2))))),IF(OR(H139="SEN",H139&lt;1998),VLOOKUP(K139,Minimas!$G$11:$L$26,6),IF(AND(H139&gt;1997,H139&lt;2001),VLOOKUP(K139,Minimas!$G$11:$L$26,5),IF(AND(H139&gt;2000,H139&lt;2003),VLOOKUP(K139,Minimas!$G$11:$L$26,4),IF(AND(H139&gt;2002,H139&lt;2005),VLOOKUP(K139,Minimas!$G$11:$L$26,3),VLOOKUP(K139,Minimas!$G$11:$L$26,2)))))))</f>
        <v>FS 63</v>
      </c>
      <c r="W139" s="62">
        <f t="shared" si="161"/>
        <v>172.39882789955175</v>
      </c>
      <c r="X139" s="63"/>
      <c r="Y139" s="156" t="s">
        <v>319</v>
      </c>
      <c r="AC139" s="90">
        <f>T139-HLOOKUP(V139,Minimas!$C$1:$BN$10,2,FALSE)</f>
        <v>55</v>
      </c>
      <c r="AD139" s="90">
        <f>T139-HLOOKUP(V139,Minimas!$C$1:$BN$10,3,FALSE)</f>
        <v>45</v>
      </c>
      <c r="AE139" s="90">
        <f>T139-HLOOKUP(V139,Minimas!$C$1:$BN$10,4,FALSE)</f>
        <v>35</v>
      </c>
      <c r="AF139" s="90">
        <f>T139-HLOOKUP(V139,Minimas!$C$1:$BN$10,5,FALSE)</f>
        <v>20</v>
      </c>
      <c r="AG139" s="90">
        <f>T139-HLOOKUP(V139,Minimas!$C$1:$BN$10,6,FALSE)</f>
        <v>0</v>
      </c>
      <c r="AH139" s="90">
        <f>T139-HLOOKUP(V139,Minimas!$C$1:$BN$10,7,FALSE)</f>
        <v>-20</v>
      </c>
      <c r="AI139" s="90">
        <f>T139-HLOOKUP(V139,Minimas!$C$1:$BN$10,8,FALSE)</f>
        <v>-40</v>
      </c>
      <c r="AJ139" s="90">
        <f>T139-HLOOKUP(V139,Minimas!$C$1:$BN$10,9,FALSE)</f>
        <v>-60</v>
      </c>
      <c r="AK139" s="90">
        <f>T139-HLOOKUP(V139,Minimas!$C$1:$BN$10,10,FALSE)</f>
        <v>-75</v>
      </c>
      <c r="AL139" s="91" t="str">
        <f t="shared" si="162"/>
        <v>FED +</v>
      </c>
      <c r="AN139" s="5" t="str">
        <f t="shared" si="163"/>
        <v>FED +</v>
      </c>
      <c r="AO139" s="5">
        <f t="shared" si="164"/>
        <v>0</v>
      </c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  <c r="BY139" s="97"/>
    </row>
    <row r="140" spans="1:124" s="5" customFormat="1" ht="27.95" customHeight="1" x14ac:dyDescent="0.2">
      <c r="B140" s="148" t="s">
        <v>525</v>
      </c>
      <c r="C140" s="161">
        <v>430398</v>
      </c>
      <c r="D140" s="92">
        <v>21</v>
      </c>
      <c r="E140" s="84" t="s">
        <v>108</v>
      </c>
      <c r="F140" s="36" t="s">
        <v>371</v>
      </c>
      <c r="G140" s="37" t="s">
        <v>372</v>
      </c>
      <c r="H140" s="92">
        <v>1988</v>
      </c>
      <c r="I140" s="192" t="s">
        <v>623</v>
      </c>
      <c r="J140" s="35" t="s">
        <v>108</v>
      </c>
      <c r="K140" s="103">
        <v>62.8</v>
      </c>
      <c r="L140" s="38">
        <v>53</v>
      </c>
      <c r="M140" s="39">
        <v>-57</v>
      </c>
      <c r="N140" s="39">
        <v>57</v>
      </c>
      <c r="O140" s="54">
        <f t="shared" si="157"/>
        <v>57</v>
      </c>
      <c r="P140" s="53">
        <v>69</v>
      </c>
      <c r="Q140" s="53">
        <v>73</v>
      </c>
      <c r="R140" s="53">
        <v>-75</v>
      </c>
      <c r="S140" s="54">
        <f t="shared" si="158"/>
        <v>73</v>
      </c>
      <c r="T140" s="55">
        <f t="shared" si="159"/>
        <v>130</v>
      </c>
      <c r="U140" s="56" t="str">
        <f t="shared" si="160"/>
        <v>FED + 0</v>
      </c>
      <c r="V140" s="86" t="str">
        <f>IF(E140=0," ",IF(E140="H",IF(OR(E140="SEN",H140&lt;1998),VLOOKUP(K140,Minimas!$A$11:$G$29,6),IF(AND(H140&gt;1997,H140&lt;2001),VLOOKUP(K140,Minimas!$A$11:$G$29,5),IF(AND(H140&gt;2000,H140&lt;2003),VLOOKUP(K140,Minimas!$A$11:$G$29,4),IF(AND(H140&gt;2002,H140&lt;2005),VLOOKUP(K140,Minimas!$A$11:$G$29,3),VLOOKUP(K140,Minimas!$A$11:$G$29,2))))),IF(OR(H140="SEN",H140&lt;1998),VLOOKUP(K140,Minimas!$G$11:$L$26,6),IF(AND(H140&gt;1997,H140&lt;2001),VLOOKUP(K140,Minimas!$G$11:$L$26,5),IF(AND(H140&gt;2000,H140&lt;2003),VLOOKUP(K140,Minimas!$G$11:$L$26,4),IF(AND(H140&gt;2002,H140&lt;2005),VLOOKUP(K140,Minimas!$G$11:$L$26,3),VLOOKUP(K140,Minimas!$G$11:$L$26,2)))))))</f>
        <v>FS 63</v>
      </c>
      <c r="W140" s="62">
        <f t="shared" si="161"/>
        <v>170.70702400759461</v>
      </c>
      <c r="X140" s="63"/>
      <c r="Y140" s="156" t="s">
        <v>319</v>
      </c>
      <c r="AC140" s="90">
        <f>T140-HLOOKUP(V140,Minimas!$C$1:$BN$10,2,FALSE)</f>
        <v>55</v>
      </c>
      <c r="AD140" s="90">
        <f>T140-HLOOKUP(V140,Minimas!$C$1:$BN$10,3,FALSE)</f>
        <v>45</v>
      </c>
      <c r="AE140" s="90">
        <f>T140-HLOOKUP(V140,Minimas!$C$1:$BN$10,4,FALSE)</f>
        <v>35</v>
      </c>
      <c r="AF140" s="90">
        <f>T140-HLOOKUP(V140,Minimas!$C$1:$BN$10,5,FALSE)</f>
        <v>20</v>
      </c>
      <c r="AG140" s="90">
        <f>T140-HLOOKUP(V140,Minimas!$C$1:$BN$10,6,FALSE)</f>
        <v>0</v>
      </c>
      <c r="AH140" s="90">
        <f>T140-HLOOKUP(V140,Minimas!$C$1:$BN$10,7,FALSE)</f>
        <v>-20</v>
      </c>
      <c r="AI140" s="90">
        <f>T140-HLOOKUP(V140,Minimas!$C$1:$BN$10,8,FALSE)</f>
        <v>-40</v>
      </c>
      <c r="AJ140" s="90">
        <f>T140-HLOOKUP(V140,Minimas!$C$1:$BN$10,9,FALSE)</f>
        <v>-60</v>
      </c>
      <c r="AK140" s="90">
        <f>T140-HLOOKUP(V140,Minimas!$C$1:$BN$10,10,FALSE)</f>
        <v>-75</v>
      </c>
      <c r="AL140" s="91" t="str">
        <f t="shared" si="162"/>
        <v>FED +</v>
      </c>
      <c r="AN140" s="5" t="str">
        <f t="shared" si="163"/>
        <v>FED +</v>
      </c>
      <c r="AO140" s="5">
        <f t="shared" si="164"/>
        <v>0</v>
      </c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</row>
    <row r="141" spans="1:124" s="5" customFormat="1" ht="27.95" customHeight="1" thickBot="1" x14ac:dyDescent="0.25">
      <c r="B141" s="148" t="s">
        <v>128</v>
      </c>
      <c r="C141" s="161">
        <v>420981</v>
      </c>
      <c r="D141" s="92">
        <v>22</v>
      </c>
      <c r="E141" s="84" t="s">
        <v>108</v>
      </c>
      <c r="F141" s="36" t="s">
        <v>472</v>
      </c>
      <c r="G141" s="37" t="s">
        <v>473</v>
      </c>
      <c r="H141" s="92">
        <v>1997</v>
      </c>
      <c r="I141" s="192" t="s">
        <v>474</v>
      </c>
      <c r="J141" s="35" t="s">
        <v>108</v>
      </c>
      <c r="K141" s="103">
        <v>63</v>
      </c>
      <c r="L141" s="38">
        <v>51</v>
      </c>
      <c r="M141" s="39">
        <v>54</v>
      </c>
      <c r="N141" s="39">
        <v>56</v>
      </c>
      <c r="O141" s="54">
        <f t="shared" si="157"/>
        <v>56</v>
      </c>
      <c r="P141" s="53">
        <v>69</v>
      </c>
      <c r="Q141" s="53">
        <v>-74</v>
      </c>
      <c r="R141" s="53">
        <v>74</v>
      </c>
      <c r="S141" s="54">
        <f t="shared" si="158"/>
        <v>74</v>
      </c>
      <c r="T141" s="55">
        <f t="shared" si="159"/>
        <v>130</v>
      </c>
      <c r="U141" s="56" t="str">
        <f t="shared" si="160"/>
        <v>FED + 0</v>
      </c>
      <c r="V141" s="86" t="str">
        <f>IF(E141=0," ",IF(E141="H",IF(OR(E141="SEN",H141&lt;1998),VLOOKUP(K141,Minimas!$A$11:$G$29,6),IF(AND(H141&gt;1997,H141&lt;2001),VLOOKUP(K141,Minimas!$A$11:$G$29,5),IF(AND(H141&gt;2000,H141&lt;2003),VLOOKUP(K141,Minimas!$A$11:$G$29,4),IF(AND(H141&gt;2002,H141&lt;2005),VLOOKUP(K141,Minimas!$A$11:$G$29,3),VLOOKUP(K141,Minimas!$A$11:$G$29,2))))),IF(OR(H141="SEN",H141&lt;1998),VLOOKUP(K141,Minimas!$G$11:$L$26,6),IF(AND(H141&gt;1997,H141&lt;2001),VLOOKUP(K141,Minimas!$G$11:$L$26,5),IF(AND(H141&gt;2000,H141&lt;2003),VLOOKUP(K141,Minimas!$G$11:$L$26,4),IF(AND(H141&gt;2002,H141&lt;2005),VLOOKUP(K141,Minimas!$G$11:$L$26,3),VLOOKUP(K141,Minimas!$G$11:$L$26,2)))))))</f>
        <v>FS 63</v>
      </c>
      <c r="W141" s="62">
        <f t="shared" si="161"/>
        <v>170.37741803984323</v>
      </c>
      <c r="X141" s="63"/>
      <c r="Y141" s="155" t="s">
        <v>441</v>
      </c>
      <c r="AC141" s="90">
        <f>T141-HLOOKUP(V141,Minimas!$C$1:$BN$10,2,FALSE)</f>
        <v>55</v>
      </c>
      <c r="AD141" s="90">
        <f>T141-HLOOKUP(V141,Minimas!$C$1:$BN$10,3,FALSE)</f>
        <v>45</v>
      </c>
      <c r="AE141" s="90">
        <f>T141-HLOOKUP(V141,Minimas!$C$1:$BN$10,4,FALSE)</f>
        <v>35</v>
      </c>
      <c r="AF141" s="90">
        <f>T141-HLOOKUP(V141,Minimas!$C$1:$BN$10,5,FALSE)</f>
        <v>20</v>
      </c>
      <c r="AG141" s="90">
        <f>T141-HLOOKUP(V141,Minimas!$C$1:$BN$10,6,FALSE)</f>
        <v>0</v>
      </c>
      <c r="AH141" s="90">
        <f>T141-HLOOKUP(V141,Minimas!$C$1:$BN$10,7,FALSE)</f>
        <v>-20</v>
      </c>
      <c r="AI141" s="90">
        <f>T141-HLOOKUP(V141,Minimas!$C$1:$BN$10,8,FALSE)</f>
        <v>-40</v>
      </c>
      <c r="AJ141" s="90">
        <f>T141-HLOOKUP(V141,Minimas!$C$1:$BN$10,9,FALSE)</f>
        <v>-60</v>
      </c>
      <c r="AK141" s="90">
        <f>T141-HLOOKUP(V141,Minimas!$C$1:$BN$10,10,FALSE)</f>
        <v>-75</v>
      </c>
      <c r="AL141" s="91" t="str">
        <f t="shared" si="162"/>
        <v>FED +</v>
      </c>
      <c r="AN141" s="5" t="str">
        <f t="shared" si="163"/>
        <v>FED +</v>
      </c>
      <c r="AO141" s="5">
        <f t="shared" si="164"/>
        <v>0</v>
      </c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</row>
    <row r="142" spans="1:124" s="11" customFormat="1" ht="5.0999999999999996" customHeight="1" thickBot="1" x14ac:dyDescent="0.25">
      <c r="A142" s="8"/>
      <c r="B142" s="147"/>
      <c r="C142" s="160"/>
      <c r="D142" s="41"/>
      <c r="E142" s="41"/>
      <c r="F142" s="42"/>
      <c r="G142" s="43"/>
      <c r="H142" s="44"/>
      <c r="I142" s="193"/>
      <c r="J142" s="40"/>
      <c r="K142" s="101"/>
      <c r="L142" s="45"/>
      <c r="M142" s="45"/>
      <c r="N142" s="45"/>
      <c r="O142" s="46"/>
      <c r="P142" s="45"/>
      <c r="Q142" s="45"/>
      <c r="R142" s="45"/>
      <c r="S142" s="46"/>
      <c r="T142" s="46"/>
      <c r="U142" s="41"/>
      <c r="V142" s="48"/>
      <c r="W142" s="47"/>
      <c r="X142" s="7"/>
      <c r="Y142" s="154"/>
      <c r="Z142" s="7"/>
      <c r="AA142" s="7"/>
      <c r="AB142" s="7"/>
      <c r="AC142" s="89" t="s">
        <v>60</v>
      </c>
      <c r="AD142" s="89" t="s">
        <v>61</v>
      </c>
      <c r="AE142" s="89" t="s">
        <v>62</v>
      </c>
      <c r="AF142" s="89" t="s">
        <v>63</v>
      </c>
      <c r="AG142" s="89" t="s">
        <v>64</v>
      </c>
      <c r="AH142" s="89" t="s">
        <v>65</v>
      </c>
      <c r="AI142" s="89" t="s">
        <v>66</v>
      </c>
      <c r="AJ142" s="89" t="s">
        <v>67</v>
      </c>
      <c r="AK142" s="89" t="s">
        <v>68</v>
      </c>
      <c r="AL142" s="89"/>
      <c r="AM142" s="7"/>
      <c r="AN142" s="7"/>
      <c r="AO142" s="7"/>
      <c r="AP142" s="7"/>
      <c r="AQ142" s="7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95"/>
      <c r="BD142" s="95"/>
      <c r="BE142" s="95"/>
      <c r="BF142" s="95"/>
      <c r="BG142" s="95"/>
      <c r="BH142" s="95"/>
      <c r="BI142" s="95"/>
      <c r="BJ142" s="95"/>
      <c r="BK142" s="95"/>
      <c r="BL142" s="95"/>
      <c r="BM142" s="95"/>
      <c r="BN142" s="95"/>
      <c r="BO142" s="95"/>
      <c r="BP142" s="95"/>
      <c r="BQ142" s="95"/>
      <c r="BR142" s="95"/>
      <c r="BS142" s="95"/>
      <c r="BT142" s="95"/>
      <c r="BU142" s="95"/>
      <c r="BV142" s="95"/>
      <c r="BW142" s="95"/>
      <c r="BX142" s="95"/>
      <c r="BY142" s="95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</row>
    <row r="143" spans="1:124" s="5" customFormat="1" ht="27.95" customHeight="1" x14ac:dyDescent="0.2">
      <c r="B143" s="148" t="s">
        <v>121</v>
      </c>
      <c r="C143" s="161">
        <v>231757</v>
      </c>
      <c r="D143" s="92">
        <v>1</v>
      </c>
      <c r="E143" s="84" t="s">
        <v>108</v>
      </c>
      <c r="F143" s="36" t="s">
        <v>210</v>
      </c>
      <c r="G143" s="37" t="s">
        <v>373</v>
      </c>
      <c r="H143" s="92">
        <v>1995</v>
      </c>
      <c r="I143" s="192" t="s">
        <v>561</v>
      </c>
      <c r="J143" s="35" t="s">
        <v>108</v>
      </c>
      <c r="K143" s="103">
        <v>67.3</v>
      </c>
      <c r="L143" s="38">
        <v>70</v>
      </c>
      <c r="M143" s="39">
        <v>73</v>
      </c>
      <c r="N143" s="39">
        <v>75</v>
      </c>
      <c r="O143" s="54">
        <f t="shared" ref="O143:O150" si="165">IF(E143="","",IF(MAXA(L143:N143)&lt;=0,0,MAXA(L143:N143)))</f>
        <v>75</v>
      </c>
      <c r="P143" s="53">
        <v>78</v>
      </c>
      <c r="Q143" s="53">
        <v>82</v>
      </c>
      <c r="R143" s="53">
        <v>-85</v>
      </c>
      <c r="S143" s="54">
        <f t="shared" ref="S143:S150" si="166">IF(E143="","",IF(MAXA(P143:R143)&lt;=0,0,MAXA(P143:R143)))</f>
        <v>82</v>
      </c>
      <c r="T143" s="55">
        <f t="shared" ref="T143:T150" si="167">IF(E143="","",IF(OR(O143=0,S143=0),0,O143+S143))</f>
        <v>157</v>
      </c>
      <c r="U143" s="56" t="str">
        <f t="shared" ref="U143:U150" si="168">+CONCATENATE(AN143," ",AO143)</f>
        <v>FED + 17</v>
      </c>
      <c r="V143" s="86" t="str">
        <f>IF(E143=0," ",IF(E143="H",IF(OR(E143="SEN",H143&lt;1998),VLOOKUP(K143,Minimas!$A$11:$G$29,6),IF(AND(H143&gt;1997,H143&lt;2001),VLOOKUP(K143,Minimas!$A$11:$G$29,5),IF(AND(H143&gt;2000,H143&lt;2003),VLOOKUP(K143,Minimas!$A$11:$G$29,4),IF(AND(H143&gt;2002,H143&lt;2005),VLOOKUP(K143,Minimas!$A$11:$G$29,3),VLOOKUP(K143,Minimas!$A$11:$G$29,2))))),IF(OR(H143="SEN",H143&lt;1998),VLOOKUP(K143,Minimas!$G$11:$L$26,6),IF(AND(H143&gt;1997,H143&lt;2001),VLOOKUP(K143,Minimas!$G$11:$L$26,5),IF(AND(H143&gt;2000,H143&lt;2003),VLOOKUP(K143,Minimas!$G$11:$L$26,4),IF(AND(H143&gt;2002,H143&lt;2005),VLOOKUP(K143,Minimas!$G$11:$L$26,3),VLOOKUP(K143,Minimas!$G$11:$L$26,2)))))))</f>
        <v>FS 69</v>
      </c>
      <c r="W143" s="62">
        <f t="shared" ref="W143:W150" si="169">IF(E143=" "," ",IF(E143="H",10^(0.75194503*LOG(K143/175.508)^2)*T143,IF(E143="F",10^(0.783497476* LOG(K143/153.655)^2)*T143,"")))</f>
        <v>197.97679164542987</v>
      </c>
      <c r="X143" s="63"/>
      <c r="Y143" s="156" t="s">
        <v>319</v>
      </c>
      <c r="AC143" s="90">
        <f>T143-HLOOKUP(V143,Minimas!$C$1:$BN$10,2,FALSE)</f>
        <v>77</v>
      </c>
      <c r="AD143" s="90">
        <f>T143-HLOOKUP(V143,Minimas!$C$1:$BN$10,3,FALSE)</f>
        <v>67</v>
      </c>
      <c r="AE143" s="90">
        <f>T143-HLOOKUP(V143,Minimas!$C$1:$BN$10,4,FALSE)</f>
        <v>52</v>
      </c>
      <c r="AF143" s="90">
        <f>T143-HLOOKUP(V143,Minimas!$C$1:$BN$10,5,FALSE)</f>
        <v>37</v>
      </c>
      <c r="AG143" s="90">
        <f>T143-HLOOKUP(V143,Minimas!$C$1:$BN$10,6,FALSE)</f>
        <v>17</v>
      </c>
      <c r="AH143" s="90">
        <f>T143-HLOOKUP(V143,Minimas!$C$1:$BN$10,7,FALSE)</f>
        <v>-3</v>
      </c>
      <c r="AI143" s="90">
        <f>T143-HLOOKUP(V143,Minimas!$C$1:$BN$10,8,FALSE)</f>
        <v>-23</v>
      </c>
      <c r="AJ143" s="90">
        <f>T143-HLOOKUP(V143,Minimas!$C$1:$BN$10,9,FALSE)</f>
        <v>-43</v>
      </c>
      <c r="AK143" s="90">
        <f>T143-HLOOKUP(V143,Minimas!$C$1:$BN$10,10,FALSE)</f>
        <v>-58</v>
      </c>
      <c r="AL143" s="91" t="str">
        <f t="shared" ref="AL143:AL150" si="170">IF(E143=0," ",IF(AK143&gt;=0,$AK$7,IF(AJ143&gt;=0,$AJ$7,IF(AI143&gt;=0,$AI$7,IF(AH143&gt;=0,$AH$7,IF(AG143&gt;=0,$AG$7,IF(AF143&gt;=0,$AF$7,IF(AE143&gt;=0,$AE$7,IF(AD143&gt;=0,$AD$7,$AC$7)))))))))</f>
        <v>FED +</v>
      </c>
      <c r="AN143" s="5" t="str">
        <f t="shared" ref="AN143:AN150" si="171">IF(AL143="","",AL143)</f>
        <v>FED +</v>
      </c>
      <c r="AO143" s="5">
        <f t="shared" ref="AO143:AO150" si="172">IF(E143=0," ",IF(AK143&gt;=0,AK143,IF(AJ143&gt;=0,AJ143,IF(AI143&gt;=0,AI143,IF(AH143&gt;=0,AH143,IF(AG143&gt;=0,AG143,IF(AF143&gt;=0,AF143,IF(AE143&gt;=0,AE143,IF(AD143&gt;=0,AD143,AC143)))))))))</f>
        <v>17</v>
      </c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</row>
    <row r="144" spans="1:124" s="5" customFormat="1" ht="27.95" customHeight="1" x14ac:dyDescent="0.2">
      <c r="B144" s="148" t="s">
        <v>124</v>
      </c>
      <c r="C144" s="161">
        <v>420328</v>
      </c>
      <c r="D144" s="92">
        <v>2</v>
      </c>
      <c r="E144" s="84" t="s">
        <v>108</v>
      </c>
      <c r="F144" s="36" t="s">
        <v>374</v>
      </c>
      <c r="G144" s="37" t="s">
        <v>653</v>
      </c>
      <c r="H144" s="92">
        <v>1979</v>
      </c>
      <c r="I144" s="192" t="s">
        <v>544</v>
      </c>
      <c r="J144" s="35" t="s">
        <v>108</v>
      </c>
      <c r="K144" s="103">
        <v>68.5</v>
      </c>
      <c r="L144" s="38">
        <v>67</v>
      </c>
      <c r="M144" s="39">
        <v>70</v>
      </c>
      <c r="N144" s="39">
        <v>-70</v>
      </c>
      <c r="O144" s="54">
        <f t="shared" si="165"/>
        <v>70</v>
      </c>
      <c r="P144" s="53">
        <v>84</v>
      </c>
      <c r="Q144" s="53">
        <v>-87</v>
      </c>
      <c r="R144" s="53">
        <v>87</v>
      </c>
      <c r="S144" s="54">
        <f t="shared" si="166"/>
        <v>87</v>
      </c>
      <c r="T144" s="55">
        <f t="shared" si="167"/>
        <v>157</v>
      </c>
      <c r="U144" s="56" t="str">
        <f t="shared" si="168"/>
        <v>FED + 17</v>
      </c>
      <c r="V144" s="86" t="str">
        <f>IF(E144=0," ",IF(E144="H",IF(OR(E144="SEN",H144&lt;1998),VLOOKUP(K144,Minimas!$A$11:$G$29,6),IF(AND(H144&gt;1997,H144&lt;2001),VLOOKUP(K144,Minimas!$A$11:$G$29,5),IF(AND(H144&gt;2000,H144&lt;2003),VLOOKUP(K144,Minimas!$A$11:$G$29,4),IF(AND(H144&gt;2002,H144&lt;2005),VLOOKUP(K144,Minimas!$A$11:$G$29,3),VLOOKUP(K144,Minimas!$A$11:$G$29,2))))),IF(OR(H144="SEN",H144&lt;1998),VLOOKUP(K144,Minimas!$G$11:$L$26,6),IF(AND(H144&gt;1997,H144&lt;2001),VLOOKUP(K144,Minimas!$G$11:$L$26,5),IF(AND(H144&gt;2000,H144&lt;2003),VLOOKUP(K144,Minimas!$G$11:$L$26,4),IF(AND(H144&gt;2002,H144&lt;2005),VLOOKUP(K144,Minimas!$G$11:$L$26,3),VLOOKUP(K144,Minimas!$G$11:$L$26,2)))))))</f>
        <v>FS 69</v>
      </c>
      <c r="W144" s="62">
        <f t="shared" si="169"/>
        <v>196.04158628472419</v>
      </c>
      <c r="X144" s="63"/>
      <c r="Y144" s="156" t="s">
        <v>319</v>
      </c>
      <c r="AC144" s="90">
        <f>T144-HLOOKUP(V144,Minimas!$C$1:$BN$10,2,FALSE)</f>
        <v>77</v>
      </c>
      <c r="AD144" s="90">
        <f>T144-HLOOKUP(V144,Minimas!$C$1:$BN$10,3,FALSE)</f>
        <v>67</v>
      </c>
      <c r="AE144" s="90">
        <f>T144-HLOOKUP(V144,Minimas!$C$1:$BN$10,4,FALSE)</f>
        <v>52</v>
      </c>
      <c r="AF144" s="90">
        <f>T144-HLOOKUP(V144,Minimas!$C$1:$BN$10,5,FALSE)</f>
        <v>37</v>
      </c>
      <c r="AG144" s="90">
        <f>T144-HLOOKUP(V144,Minimas!$C$1:$BN$10,6,FALSE)</f>
        <v>17</v>
      </c>
      <c r="AH144" s="90">
        <f>T144-HLOOKUP(V144,Minimas!$C$1:$BN$10,7,FALSE)</f>
        <v>-3</v>
      </c>
      <c r="AI144" s="90">
        <f>T144-HLOOKUP(V144,Minimas!$C$1:$BN$10,8,FALSE)</f>
        <v>-23</v>
      </c>
      <c r="AJ144" s="90">
        <f>T144-HLOOKUP(V144,Minimas!$C$1:$BN$10,9,FALSE)</f>
        <v>-43</v>
      </c>
      <c r="AK144" s="90">
        <f>T144-HLOOKUP(V144,Minimas!$C$1:$BN$10,10,FALSE)</f>
        <v>-58</v>
      </c>
      <c r="AL144" s="91" t="str">
        <f t="shared" si="170"/>
        <v>FED +</v>
      </c>
      <c r="AN144" s="5" t="str">
        <f t="shared" si="171"/>
        <v>FED +</v>
      </c>
      <c r="AO144" s="5">
        <f t="shared" si="172"/>
        <v>17</v>
      </c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</row>
    <row r="145" spans="1:124" s="5" customFormat="1" ht="27.95" customHeight="1" x14ac:dyDescent="0.2">
      <c r="B145" s="148" t="s">
        <v>123</v>
      </c>
      <c r="C145" s="161">
        <v>298196</v>
      </c>
      <c r="D145" s="92">
        <v>3</v>
      </c>
      <c r="E145" s="84" t="s">
        <v>108</v>
      </c>
      <c r="F145" s="36" t="s">
        <v>211</v>
      </c>
      <c r="G145" s="37" t="s">
        <v>603</v>
      </c>
      <c r="H145" s="92">
        <v>1997</v>
      </c>
      <c r="I145" s="192" t="s">
        <v>212</v>
      </c>
      <c r="J145" s="35" t="s">
        <v>108</v>
      </c>
      <c r="K145" s="103">
        <v>69</v>
      </c>
      <c r="L145" s="38">
        <v>61</v>
      </c>
      <c r="M145" s="39">
        <v>65</v>
      </c>
      <c r="N145" s="39">
        <v>-68</v>
      </c>
      <c r="O145" s="54">
        <f t="shared" si="165"/>
        <v>65</v>
      </c>
      <c r="P145" s="53">
        <v>83</v>
      </c>
      <c r="Q145" s="53">
        <v>86</v>
      </c>
      <c r="R145" s="53">
        <v>-88</v>
      </c>
      <c r="S145" s="54">
        <f t="shared" si="166"/>
        <v>86</v>
      </c>
      <c r="T145" s="55">
        <f t="shared" si="167"/>
        <v>151</v>
      </c>
      <c r="U145" s="56" t="str">
        <f t="shared" si="168"/>
        <v>FED + 11</v>
      </c>
      <c r="V145" s="86" t="str">
        <f>IF(E145=0," ",IF(E145="H",IF(OR(E145="SEN",H145&lt;1998),VLOOKUP(K145,Minimas!$A$11:$G$29,6),IF(AND(H145&gt;1997,H145&lt;2001),VLOOKUP(K145,Minimas!$A$11:$G$29,5),IF(AND(H145&gt;2000,H145&lt;2003),VLOOKUP(K145,Minimas!$A$11:$G$29,4),IF(AND(H145&gt;2002,H145&lt;2005),VLOOKUP(K145,Minimas!$A$11:$G$29,3),VLOOKUP(K145,Minimas!$A$11:$G$29,2))))),IF(OR(H145="SEN",H145&lt;1998),VLOOKUP(K145,Minimas!$G$11:$L$26,6),IF(AND(H145&gt;1997,H145&lt;2001),VLOOKUP(K145,Minimas!$G$11:$L$26,5),IF(AND(H145&gt;2000,H145&lt;2003),VLOOKUP(K145,Minimas!$G$11:$L$26,4),IF(AND(H145&gt;2002,H145&lt;2005),VLOOKUP(K145,Minimas!$G$11:$L$26,3),VLOOKUP(K145,Minimas!$G$11:$L$26,2)))))))</f>
        <v>FS 69</v>
      </c>
      <c r="W145" s="62">
        <f t="shared" si="169"/>
        <v>187.80052310715817</v>
      </c>
      <c r="X145" s="63"/>
      <c r="Y145" s="157" t="s">
        <v>131</v>
      </c>
      <c r="AC145" s="90">
        <f>T145-HLOOKUP(V145,Minimas!$C$1:$BN$10,2,FALSE)</f>
        <v>71</v>
      </c>
      <c r="AD145" s="90">
        <f>T145-HLOOKUP(V145,Minimas!$C$1:$BN$10,3,FALSE)</f>
        <v>61</v>
      </c>
      <c r="AE145" s="90">
        <f>T145-HLOOKUP(V145,Minimas!$C$1:$BN$10,4,FALSE)</f>
        <v>46</v>
      </c>
      <c r="AF145" s="90">
        <f>T145-HLOOKUP(V145,Minimas!$C$1:$BN$10,5,FALSE)</f>
        <v>31</v>
      </c>
      <c r="AG145" s="90">
        <f>T145-HLOOKUP(V145,Minimas!$C$1:$BN$10,6,FALSE)</f>
        <v>11</v>
      </c>
      <c r="AH145" s="90">
        <f>T145-HLOOKUP(V145,Minimas!$C$1:$BN$10,7,FALSE)</f>
        <v>-9</v>
      </c>
      <c r="AI145" s="90">
        <f>T145-HLOOKUP(V145,Minimas!$C$1:$BN$10,8,FALSE)</f>
        <v>-29</v>
      </c>
      <c r="AJ145" s="90">
        <f>T145-HLOOKUP(V145,Minimas!$C$1:$BN$10,9,FALSE)</f>
        <v>-49</v>
      </c>
      <c r="AK145" s="90">
        <f>T145-HLOOKUP(V145,Minimas!$C$1:$BN$10,10,FALSE)</f>
        <v>-64</v>
      </c>
      <c r="AL145" s="91" t="str">
        <f t="shared" si="170"/>
        <v>FED +</v>
      </c>
      <c r="AN145" s="5" t="str">
        <f t="shared" si="171"/>
        <v>FED +</v>
      </c>
      <c r="AO145" s="5">
        <f t="shared" si="172"/>
        <v>11</v>
      </c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</row>
    <row r="146" spans="1:124" s="5" customFormat="1" ht="27.95" customHeight="1" x14ac:dyDescent="0.2">
      <c r="B146" s="148" t="s">
        <v>129</v>
      </c>
      <c r="C146" s="161">
        <v>415107</v>
      </c>
      <c r="D146" s="92">
        <v>4</v>
      </c>
      <c r="E146" s="84" t="s">
        <v>108</v>
      </c>
      <c r="F146" s="36" t="s">
        <v>213</v>
      </c>
      <c r="G146" s="37" t="s">
        <v>166</v>
      </c>
      <c r="H146" s="92">
        <v>1996</v>
      </c>
      <c r="I146" s="192" t="s">
        <v>375</v>
      </c>
      <c r="J146" s="35" t="s">
        <v>108</v>
      </c>
      <c r="K146" s="103">
        <v>65.5</v>
      </c>
      <c r="L146" s="38">
        <v>63</v>
      </c>
      <c r="M146" s="39">
        <v>66</v>
      </c>
      <c r="N146" s="39">
        <v>70</v>
      </c>
      <c r="O146" s="54">
        <f t="shared" si="165"/>
        <v>70</v>
      </c>
      <c r="P146" s="53">
        <v>77</v>
      </c>
      <c r="Q146" s="53">
        <v>80</v>
      </c>
      <c r="R146" s="53">
        <v>-83</v>
      </c>
      <c r="S146" s="54">
        <f t="shared" si="166"/>
        <v>80</v>
      </c>
      <c r="T146" s="55">
        <f t="shared" si="167"/>
        <v>150</v>
      </c>
      <c r="U146" s="56" t="str">
        <f t="shared" si="168"/>
        <v>FED + 10</v>
      </c>
      <c r="V146" s="86" t="str">
        <f>IF(E146=0," ",IF(E146="H",IF(OR(E146="SEN",H146&lt;1998),VLOOKUP(K146,Minimas!$A$11:$G$29,6),IF(AND(H146&gt;1997,H146&lt;2001),VLOOKUP(K146,Minimas!$A$11:$G$29,5),IF(AND(H146&gt;2000,H146&lt;2003),VLOOKUP(K146,Minimas!$A$11:$G$29,4),IF(AND(H146&gt;2002,H146&lt;2005),VLOOKUP(K146,Minimas!$A$11:$G$29,3),VLOOKUP(K146,Minimas!$A$11:$G$29,2))))),IF(OR(H146="SEN",H146&lt;1998),VLOOKUP(K146,Minimas!$G$11:$L$26,6),IF(AND(H146&gt;1997,H146&lt;2001),VLOOKUP(K146,Minimas!$G$11:$L$26,5),IF(AND(H146&gt;2000,H146&lt;2003),VLOOKUP(K146,Minimas!$G$11:$L$26,4),IF(AND(H146&gt;2002,H146&lt;2005),VLOOKUP(K146,Minimas!$G$11:$L$26,3),VLOOKUP(K146,Minimas!$G$11:$L$26,2)))))))</f>
        <v>FS 69</v>
      </c>
      <c r="W146" s="62">
        <f t="shared" si="169"/>
        <v>192.10081267348477</v>
      </c>
      <c r="X146" s="63"/>
      <c r="Y146" s="156" t="s">
        <v>319</v>
      </c>
      <c r="AC146" s="90">
        <f>T146-HLOOKUP(V146,Minimas!$C$1:$BN$10,2,FALSE)</f>
        <v>70</v>
      </c>
      <c r="AD146" s="90">
        <f>T146-HLOOKUP(V146,Minimas!$C$1:$BN$10,3,FALSE)</f>
        <v>60</v>
      </c>
      <c r="AE146" s="90">
        <f>T146-HLOOKUP(V146,Minimas!$C$1:$BN$10,4,FALSE)</f>
        <v>45</v>
      </c>
      <c r="AF146" s="90">
        <f>T146-HLOOKUP(V146,Minimas!$C$1:$BN$10,5,FALSE)</f>
        <v>30</v>
      </c>
      <c r="AG146" s="90">
        <f>T146-HLOOKUP(V146,Minimas!$C$1:$BN$10,6,FALSE)</f>
        <v>10</v>
      </c>
      <c r="AH146" s="90">
        <f>T146-HLOOKUP(V146,Minimas!$C$1:$BN$10,7,FALSE)</f>
        <v>-10</v>
      </c>
      <c r="AI146" s="90">
        <f>T146-HLOOKUP(V146,Minimas!$C$1:$BN$10,8,FALSE)</f>
        <v>-30</v>
      </c>
      <c r="AJ146" s="90">
        <f>T146-HLOOKUP(V146,Minimas!$C$1:$BN$10,9,FALSE)</f>
        <v>-50</v>
      </c>
      <c r="AK146" s="90">
        <f>T146-HLOOKUP(V146,Minimas!$C$1:$BN$10,10,FALSE)</f>
        <v>-65</v>
      </c>
      <c r="AL146" s="91" t="str">
        <f t="shared" si="170"/>
        <v>FED +</v>
      </c>
      <c r="AN146" s="5" t="str">
        <f t="shared" si="171"/>
        <v>FED +</v>
      </c>
      <c r="AO146" s="5">
        <f t="shared" si="172"/>
        <v>10</v>
      </c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</row>
    <row r="147" spans="1:124" s="5" customFormat="1" ht="27.95" customHeight="1" x14ac:dyDescent="0.2">
      <c r="B147" s="148" t="s">
        <v>138</v>
      </c>
      <c r="C147" s="161">
        <v>358338</v>
      </c>
      <c r="D147" s="92">
        <v>5</v>
      </c>
      <c r="E147" s="84" t="s">
        <v>108</v>
      </c>
      <c r="F147" s="36" t="s">
        <v>143</v>
      </c>
      <c r="G147" s="37" t="s">
        <v>654</v>
      </c>
      <c r="H147" s="92">
        <v>1974</v>
      </c>
      <c r="I147" s="192" t="s">
        <v>541</v>
      </c>
      <c r="J147" s="35" t="s">
        <v>108</v>
      </c>
      <c r="K147" s="103">
        <v>68.28</v>
      </c>
      <c r="L147" s="38">
        <v>66</v>
      </c>
      <c r="M147" s="39">
        <v>-70</v>
      </c>
      <c r="N147" s="39">
        <v>-70</v>
      </c>
      <c r="O147" s="54">
        <f t="shared" si="165"/>
        <v>66</v>
      </c>
      <c r="P147" s="53">
        <v>82</v>
      </c>
      <c r="Q147" s="53">
        <v>-85</v>
      </c>
      <c r="R147" s="53" t="s">
        <v>126</v>
      </c>
      <c r="S147" s="54">
        <f t="shared" si="166"/>
        <v>82</v>
      </c>
      <c r="T147" s="55">
        <f t="shared" si="167"/>
        <v>148</v>
      </c>
      <c r="U147" s="56" t="str">
        <f t="shared" si="168"/>
        <v>FED + 8</v>
      </c>
      <c r="V147" s="86" t="str">
        <f>IF(E147=0," ",IF(E147="H",IF(OR(E147="SEN",H147&lt;1998),VLOOKUP(K147,Minimas!$A$11:$G$29,6),IF(AND(H147&gt;1997,H147&lt;2001),VLOOKUP(K147,Minimas!$A$11:$G$29,5),IF(AND(H147&gt;2000,H147&lt;2003),VLOOKUP(K147,Minimas!$A$11:$G$29,4),IF(AND(H147&gt;2002,H147&lt;2005),VLOOKUP(K147,Minimas!$A$11:$G$29,3),VLOOKUP(K147,Minimas!$A$11:$G$29,2))))),IF(OR(H147="SEN",H147&lt;1998),VLOOKUP(K147,Minimas!$G$11:$L$26,6),IF(AND(H147&gt;1997,H147&lt;2001),VLOOKUP(K147,Minimas!$G$11:$L$26,5),IF(AND(H147&gt;2000,H147&lt;2003),VLOOKUP(K147,Minimas!$G$11:$L$26,4),IF(AND(H147&gt;2002,H147&lt;2005),VLOOKUP(K147,Minimas!$G$11:$L$26,3),VLOOKUP(K147,Minimas!$G$11:$L$26,2)))))))</f>
        <v>FS 69</v>
      </c>
      <c r="W147" s="62">
        <f t="shared" si="169"/>
        <v>185.13131627561242</v>
      </c>
      <c r="X147" s="63"/>
      <c r="Y147" s="155" t="s">
        <v>441</v>
      </c>
      <c r="AC147" s="90">
        <f>T147-HLOOKUP(V147,Minimas!$C$1:$BN$10,2,FALSE)</f>
        <v>68</v>
      </c>
      <c r="AD147" s="90">
        <f>T147-HLOOKUP(V147,Minimas!$C$1:$BN$10,3,FALSE)</f>
        <v>58</v>
      </c>
      <c r="AE147" s="90">
        <f>T147-HLOOKUP(V147,Minimas!$C$1:$BN$10,4,FALSE)</f>
        <v>43</v>
      </c>
      <c r="AF147" s="90">
        <f>T147-HLOOKUP(V147,Minimas!$C$1:$BN$10,5,FALSE)</f>
        <v>28</v>
      </c>
      <c r="AG147" s="90">
        <f>T147-HLOOKUP(V147,Minimas!$C$1:$BN$10,6,FALSE)</f>
        <v>8</v>
      </c>
      <c r="AH147" s="90">
        <f>T147-HLOOKUP(V147,Minimas!$C$1:$BN$10,7,FALSE)</f>
        <v>-12</v>
      </c>
      <c r="AI147" s="90">
        <f>T147-HLOOKUP(V147,Minimas!$C$1:$BN$10,8,FALSE)</f>
        <v>-32</v>
      </c>
      <c r="AJ147" s="90">
        <f>T147-HLOOKUP(V147,Minimas!$C$1:$BN$10,9,FALSE)</f>
        <v>-52</v>
      </c>
      <c r="AK147" s="90">
        <f>T147-HLOOKUP(V147,Minimas!$C$1:$BN$10,10,FALSE)</f>
        <v>-67</v>
      </c>
      <c r="AL147" s="91" t="str">
        <f t="shared" si="170"/>
        <v>FED +</v>
      </c>
      <c r="AN147" s="5" t="str">
        <f t="shared" si="171"/>
        <v>FED +</v>
      </c>
      <c r="AO147" s="5">
        <f t="shared" si="172"/>
        <v>8</v>
      </c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</row>
    <row r="148" spans="1:124" s="5" customFormat="1" ht="27.95" customHeight="1" x14ac:dyDescent="0.2">
      <c r="B148" s="150" t="s">
        <v>189</v>
      </c>
      <c r="C148" s="163">
        <v>389192</v>
      </c>
      <c r="D148" s="128">
        <v>6</v>
      </c>
      <c r="E148" s="129" t="s">
        <v>108</v>
      </c>
      <c r="F148" s="130" t="s">
        <v>475</v>
      </c>
      <c r="G148" s="131" t="s">
        <v>476</v>
      </c>
      <c r="H148" s="128">
        <v>1997</v>
      </c>
      <c r="I148" s="199" t="s">
        <v>549</v>
      </c>
      <c r="J148" s="132" t="s">
        <v>108</v>
      </c>
      <c r="K148" s="133">
        <v>64.900000000000006</v>
      </c>
      <c r="L148" s="134">
        <v>50</v>
      </c>
      <c r="M148" s="135">
        <v>54</v>
      </c>
      <c r="N148" s="135">
        <v>60</v>
      </c>
      <c r="O148" s="136">
        <f t="shared" si="165"/>
        <v>60</v>
      </c>
      <c r="P148" s="137">
        <v>78</v>
      </c>
      <c r="Q148" s="137">
        <v>83</v>
      </c>
      <c r="R148" s="137">
        <v>86</v>
      </c>
      <c r="S148" s="136">
        <f t="shared" si="166"/>
        <v>86</v>
      </c>
      <c r="T148" s="138">
        <f t="shared" si="167"/>
        <v>146</v>
      </c>
      <c r="U148" s="139" t="str">
        <f t="shared" si="168"/>
        <v>FED + 6</v>
      </c>
      <c r="V148" s="140" t="str">
        <f>IF(E148=0," ",IF(E148="H",IF(OR(E148="SEN",H148&lt;1998),VLOOKUP(K148,Minimas!$A$11:$G$29,6),IF(AND(H148&gt;1997,H148&lt;2001),VLOOKUP(K148,Minimas!$A$11:$G$29,5),IF(AND(H148&gt;2000,H148&lt;2003),VLOOKUP(K148,Minimas!$A$11:$G$29,4),IF(AND(H148&gt;2002,H148&lt;2005),VLOOKUP(K148,Minimas!$A$11:$G$29,3),VLOOKUP(K148,Minimas!$A$11:$G$29,2))))),IF(OR(H148="SEN",H148&lt;1998),VLOOKUP(K148,Minimas!$G$11:$L$26,6),IF(AND(H148&gt;1997,H148&lt;2001),VLOOKUP(K148,Minimas!$G$11:$L$26,5),IF(AND(H148&gt;2000,H148&lt;2003),VLOOKUP(K148,Minimas!$G$11:$L$26,4),IF(AND(H148&gt;2002,H148&lt;2005),VLOOKUP(K148,Minimas!$G$11:$L$26,3),VLOOKUP(K148,Minimas!$G$11:$L$26,2)))))))</f>
        <v>FS 69</v>
      </c>
      <c r="W148" s="141">
        <f t="shared" si="169"/>
        <v>187.98465913178268</v>
      </c>
      <c r="X148" s="63"/>
      <c r="Y148" s="155" t="s">
        <v>441</v>
      </c>
      <c r="AC148" s="90">
        <f>T148-HLOOKUP(V148,Minimas!$C$1:$BN$10,2,FALSE)</f>
        <v>66</v>
      </c>
      <c r="AD148" s="90">
        <f>T148-HLOOKUP(V148,Minimas!$C$1:$BN$10,3,FALSE)</f>
        <v>56</v>
      </c>
      <c r="AE148" s="90">
        <f>T148-HLOOKUP(V148,Minimas!$C$1:$BN$10,4,FALSE)</f>
        <v>41</v>
      </c>
      <c r="AF148" s="90">
        <f>T148-HLOOKUP(V148,Minimas!$C$1:$BN$10,5,FALSE)</f>
        <v>26</v>
      </c>
      <c r="AG148" s="90">
        <f>T148-HLOOKUP(V148,Minimas!$C$1:$BN$10,6,FALSE)</f>
        <v>6</v>
      </c>
      <c r="AH148" s="90">
        <f>T148-HLOOKUP(V148,Minimas!$C$1:$BN$10,7,FALSE)</f>
        <v>-14</v>
      </c>
      <c r="AI148" s="90">
        <f>T148-HLOOKUP(V148,Minimas!$C$1:$BN$10,8,FALSE)</f>
        <v>-34</v>
      </c>
      <c r="AJ148" s="90">
        <f>T148-HLOOKUP(V148,Minimas!$C$1:$BN$10,9,FALSE)</f>
        <v>-54</v>
      </c>
      <c r="AK148" s="90">
        <f>T148-HLOOKUP(V148,Minimas!$C$1:$BN$10,10,FALSE)</f>
        <v>-69</v>
      </c>
      <c r="AL148" s="91" t="str">
        <f t="shared" si="170"/>
        <v>FED +</v>
      </c>
      <c r="AN148" s="5" t="str">
        <f t="shared" si="171"/>
        <v>FED +</v>
      </c>
      <c r="AO148" s="5">
        <f t="shared" si="172"/>
        <v>6</v>
      </c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  <c r="BY148" s="97"/>
    </row>
    <row r="149" spans="1:124" s="5" customFormat="1" ht="27.95" customHeight="1" x14ac:dyDescent="0.2">
      <c r="B149" s="148" t="s">
        <v>314</v>
      </c>
      <c r="C149" s="161">
        <v>430998</v>
      </c>
      <c r="D149" s="92">
        <v>7</v>
      </c>
      <c r="E149" s="84" t="s">
        <v>108</v>
      </c>
      <c r="F149" s="36" t="s">
        <v>315</v>
      </c>
      <c r="G149" s="37" t="s">
        <v>160</v>
      </c>
      <c r="H149" s="92">
        <v>1997</v>
      </c>
      <c r="I149" s="192" t="s">
        <v>624</v>
      </c>
      <c r="J149" s="35" t="s">
        <v>108</v>
      </c>
      <c r="K149" s="103">
        <v>63.9</v>
      </c>
      <c r="L149" s="38">
        <v>62</v>
      </c>
      <c r="M149" s="39">
        <v>65</v>
      </c>
      <c r="N149" s="39">
        <v>-68</v>
      </c>
      <c r="O149" s="54">
        <f t="shared" si="165"/>
        <v>65</v>
      </c>
      <c r="P149" s="53">
        <v>80</v>
      </c>
      <c r="Q149" s="53">
        <v>-84</v>
      </c>
      <c r="R149" s="53">
        <v>-84</v>
      </c>
      <c r="S149" s="54">
        <f t="shared" si="166"/>
        <v>80</v>
      </c>
      <c r="T149" s="55">
        <f t="shared" si="167"/>
        <v>145</v>
      </c>
      <c r="U149" s="56" t="str">
        <f t="shared" si="168"/>
        <v>FED + 5</v>
      </c>
      <c r="V149" s="86" t="str">
        <f>IF(E149=0," ",IF(E149="H",IF(OR(E149="SEN",H149&lt;1998),VLOOKUP(K149,Minimas!$A$11:$G$29,6),IF(AND(H149&gt;1997,H149&lt;2001),VLOOKUP(K149,Minimas!$A$11:$G$29,5),IF(AND(H149&gt;2000,H149&lt;2003),VLOOKUP(K149,Minimas!$A$11:$G$29,4),IF(AND(H149&gt;2002,H149&lt;2005),VLOOKUP(K149,Minimas!$A$11:$G$29,3),VLOOKUP(K149,Minimas!$A$11:$G$29,2))))),IF(OR(H149="SEN",H149&lt;1998),VLOOKUP(K149,Minimas!$G$11:$L$26,6),IF(AND(H149&gt;1997,H149&lt;2001),VLOOKUP(K149,Minimas!$G$11:$L$26,5),IF(AND(H149&gt;2000,H149&lt;2003),VLOOKUP(K149,Minimas!$G$11:$L$26,4),IF(AND(H149&gt;2002,H149&lt;2005),VLOOKUP(K149,Minimas!$G$11:$L$26,3),VLOOKUP(K149,Minimas!$G$11:$L$26,2)))))))</f>
        <v>FS 69</v>
      </c>
      <c r="W149" s="62">
        <f t="shared" si="169"/>
        <v>188.42071518479992</v>
      </c>
      <c r="X149" s="63"/>
      <c r="Y149" s="157" t="s">
        <v>131</v>
      </c>
      <c r="AC149" s="90">
        <f>T149-HLOOKUP(V149,Minimas!$C$1:$BN$10,2,FALSE)</f>
        <v>65</v>
      </c>
      <c r="AD149" s="90">
        <f>T149-HLOOKUP(V149,Minimas!$C$1:$BN$10,3,FALSE)</f>
        <v>55</v>
      </c>
      <c r="AE149" s="90">
        <f>T149-HLOOKUP(V149,Minimas!$C$1:$BN$10,4,FALSE)</f>
        <v>40</v>
      </c>
      <c r="AF149" s="90">
        <f>T149-HLOOKUP(V149,Minimas!$C$1:$BN$10,5,FALSE)</f>
        <v>25</v>
      </c>
      <c r="AG149" s="90">
        <f>T149-HLOOKUP(V149,Minimas!$C$1:$BN$10,6,FALSE)</f>
        <v>5</v>
      </c>
      <c r="AH149" s="90">
        <f>T149-HLOOKUP(V149,Minimas!$C$1:$BN$10,7,FALSE)</f>
        <v>-15</v>
      </c>
      <c r="AI149" s="90">
        <f>T149-HLOOKUP(V149,Minimas!$C$1:$BN$10,8,FALSE)</f>
        <v>-35</v>
      </c>
      <c r="AJ149" s="90">
        <f>T149-HLOOKUP(V149,Minimas!$C$1:$BN$10,9,FALSE)</f>
        <v>-55</v>
      </c>
      <c r="AK149" s="90">
        <f>T149-HLOOKUP(V149,Minimas!$C$1:$BN$10,10,FALSE)</f>
        <v>-70</v>
      </c>
      <c r="AL149" s="91" t="str">
        <f t="shared" si="170"/>
        <v>FED +</v>
      </c>
      <c r="AN149" s="5" t="str">
        <f t="shared" si="171"/>
        <v>FED +</v>
      </c>
      <c r="AO149" s="5">
        <f t="shared" si="172"/>
        <v>5</v>
      </c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</row>
    <row r="150" spans="1:124" s="5" customFormat="1" ht="27.95" customHeight="1" x14ac:dyDescent="0.2">
      <c r="B150" s="148" t="s">
        <v>124</v>
      </c>
      <c r="C150" s="161">
        <v>421122</v>
      </c>
      <c r="D150" s="92">
        <v>8</v>
      </c>
      <c r="E150" s="84" t="s">
        <v>108</v>
      </c>
      <c r="F150" s="36" t="s">
        <v>376</v>
      </c>
      <c r="G150" s="37" t="s">
        <v>318</v>
      </c>
      <c r="H150" s="92">
        <v>1993</v>
      </c>
      <c r="I150" s="192" t="s">
        <v>544</v>
      </c>
      <c r="J150" s="35" t="s">
        <v>108</v>
      </c>
      <c r="K150" s="103">
        <v>67.2</v>
      </c>
      <c r="L150" s="38">
        <v>62</v>
      </c>
      <c r="M150" s="39">
        <v>65</v>
      </c>
      <c r="N150" s="39">
        <v>-67</v>
      </c>
      <c r="O150" s="54">
        <f t="shared" si="165"/>
        <v>65</v>
      </c>
      <c r="P150" s="53">
        <v>75</v>
      </c>
      <c r="Q150" s="53">
        <v>-80</v>
      </c>
      <c r="R150" s="53">
        <v>80</v>
      </c>
      <c r="S150" s="54">
        <f t="shared" si="166"/>
        <v>80</v>
      </c>
      <c r="T150" s="55">
        <f t="shared" si="167"/>
        <v>145</v>
      </c>
      <c r="U150" s="56" t="str">
        <f t="shared" si="168"/>
        <v>FED + 5</v>
      </c>
      <c r="V150" s="86" t="str">
        <f>IF(E150=0," ",IF(E150="H",IF(OR(E150="SEN",H150&lt;1998),VLOOKUP(K150,Minimas!$A$11:$G$29,6),IF(AND(H150&gt;1997,H150&lt;2001),VLOOKUP(K150,Minimas!$A$11:$G$29,5),IF(AND(H150&gt;2000,H150&lt;2003),VLOOKUP(K150,Minimas!$A$11:$G$29,4),IF(AND(H150&gt;2002,H150&lt;2005),VLOOKUP(K150,Minimas!$A$11:$G$29,3),VLOOKUP(K150,Minimas!$A$11:$G$29,2))))),IF(OR(H150="SEN",H150&lt;1998),VLOOKUP(K150,Minimas!$G$11:$L$26,6),IF(AND(H150&gt;1997,H150&lt;2001),VLOOKUP(K150,Minimas!$G$11:$L$26,5),IF(AND(H150&gt;2000,H150&lt;2003),VLOOKUP(K150,Minimas!$G$11:$L$26,4),IF(AND(H150&gt;2002,H150&lt;2005),VLOOKUP(K150,Minimas!$G$11:$L$26,3),VLOOKUP(K150,Minimas!$G$11:$L$26,2)))))))</f>
        <v>FS 69</v>
      </c>
      <c r="W150" s="62">
        <f t="shared" si="169"/>
        <v>182.99776058334447</v>
      </c>
      <c r="X150" s="63"/>
      <c r="Y150" s="155" t="s">
        <v>441</v>
      </c>
      <c r="AC150" s="90">
        <f>T150-HLOOKUP(V150,Minimas!$C$1:$BN$10,2,FALSE)</f>
        <v>65</v>
      </c>
      <c r="AD150" s="90">
        <f>T150-HLOOKUP(V150,Minimas!$C$1:$BN$10,3,FALSE)</f>
        <v>55</v>
      </c>
      <c r="AE150" s="90">
        <f>T150-HLOOKUP(V150,Minimas!$C$1:$BN$10,4,FALSE)</f>
        <v>40</v>
      </c>
      <c r="AF150" s="90">
        <f>T150-HLOOKUP(V150,Minimas!$C$1:$BN$10,5,FALSE)</f>
        <v>25</v>
      </c>
      <c r="AG150" s="90">
        <f>T150-HLOOKUP(V150,Minimas!$C$1:$BN$10,6,FALSE)</f>
        <v>5</v>
      </c>
      <c r="AH150" s="90">
        <f>T150-HLOOKUP(V150,Minimas!$C$1:$BN$10,7,FALSE)</f>
        <v>-15</v>
      </c>
      <c r="AI150" s="90">
        <f>T150-HLOOKUP(V150,Minimas!$C$1:$BN$10,8,FALSE)</f>
        <v>-35</v>
      </c>
      <c r="AJ150" s="90">
        <f>T150-HLOOKUP(V150,Minimas!$C$1:$BN$10,9,FALSE)</f>
        <v>-55</v>
      </c>
      <c r="AK150" s="90">
        <f>T150-HLOOKUP(V150,Minimas!$C$1:$BN$10,10,FALSE)</f>
        <v>-70</v>
      </c>
      <c r="AL150" s="91" t="str">
        <f t="shared" si="170"/>
        <v>FED +</v>
      </c>
      <c r="AN150" s="5" t="str">
        <f t="shared" si="171"/>
        <v>FED +</v>
      </c>
      <c r="AO150" s="5">
        <f t="shared" si="172"/>
        <v>5</v>
      </c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</row>
    <row r="151" spans="1:124" s="5" customFormat="1" ht="27.95" customHeight="1" x14ac:dyDescent="0.2">
      <c r="B151" s="148" t="s">
        <v>124</v>
      </c>
      <c r="C151" s="161">
        <v>438040</v>
      </c>
      <c r="D151" s="92">
        <v>9</v>
      </c>
      <c r="E151" s="84" t="s">
        <v>108</v>
      </c>
      <c r="F151" s="36" t="s">
        <v>377</v>
      </c>
      <c r="G151" s="37" t="s">
        <v>655</v>
      </c>
      <c r="H151" s="92">
        <v>1988</v>
      </c>
      <c r="I151" s="192" t="s">
        <v>544</v>
      </c>
      <c r="J151" s="35" t="s">
        <v>108</v>
      </c>
      <c r="K151" s="103">
        <v>67.2</v>
      </c>
      <c r="L151" s="38">
        <v>55</v>
      </c>
      <c r="M151" s="39">
        <v>60</v>
      </c>
      <c r="N151" s="39">
        <v>-65</v>
      </c>
      <c r="O151" s="54">
        <f t="shared" ref="O151:O152" si="173">IF(E151="","",IF(MAXA(L151:N151)&lt;=0,0,MAXA(L151:N151)))</f>
        <v>60</v>
      </c>
      <c r="P151" s="53">
        <v>75</v>
      </c>
      <c r="Q151" s="53">
        <v>80</v>
      </c>
      <c r="R151" s="53">
        <v>-83</v>
      </c>
      <c r="S151" s="54">
        <f t="shared" ref="S151:S152" si="174">IF(E151="","",IF(MAXA(P151:R151)&lt;=0,0,MAXA(P151:R151)))</f>
        <v>80</v>
      </c>
      <c r="T151" s="55">
        <f t="shared" ref="T151:T152" si="175">IF(E151="","",IF(OR(O151=0,S151=0),0,O151+S151))</f>
        <v>140</v>
      </c>
      <c r="U151" s="56" t="str">
        <f t="shared" ref="U151:U152" si="176">+CONCATENATE(AN151," ",AO151)</f>
        <v>FED + 0</v>
      </c>
      <c r="V151" s="86" t="str">
        <f>IF(E151=0," ",IF(E151="H",IF(OR(E151="SEN",H151&lt;1998),VLOOKUP(K151,Minimas!$A$11:$G$29,6),IF(AND(H151&gt;1997,H151&lt;2001),VLOOKUP(K151,Minimas!$A$11:$G$29,5),IF(AND(H151&gt;2000,H151&lt;2003),VLOOKUP(K151,Minimas!$A$11:$G$29,4),IF(AND(H151&gt;2002,H151&lt;2005),VLOOKUP(K151,Minimas!$A$11:$G$29,3),VLOOKUP(K151,Minimas!$A$11:$G$29,2))))),IF(OR(H151="SEN",H151&lt;1998),VLOOKUP(K151,Minimas!$G$11:$L$26,6),IF(AND(H151&gt;1997,H151&lt;2001),VLOOKUP(K151,Minimas!$G$11:$L$26,5),IF(AND(H151&gt;2000,H151&lt;2003),VLOOKUP(K151,Minimas!$G$11:$L$26,4),IF(AND(H151&gt;2002,H151&lt;2005),VLOOKUP(K151,Minimas!$G$11:$L$26,3),VLOOKUP(K151,Minimas!$G$11:$L$26,2)))))))</f>
        <v>FS 69</v>
      </c>
      <c r="W151" s="62">
        <f t="shared" ref="W151:W152" si="177">IF(E151=" "," ",IF(E151="H",10^(0.75194503*LOG(K151/175.508)^2)*T151,IF(E151="F",10^(0.783497476* LOG(K151/153.655)^2)*T151,"")))</f>
        <v>176.68749297702223</v>
      </c>
      <c r="X151" s="63"/>
      <c r="Y151" s="156" t="s">
        <v>319</v>
      </c>
      <c r="AC151" s="90">
        <f>T151-HLOOKUP(V151,Minimas!$C$1:$BN$10,2,FALSE)</f>
        <v>60</v>
      </c>
      <c r="AD151" s="90">
        <f>T151-HLOOKUP(V151,Minimas!$C$1:$BN$10,3,FALSE)</f>
        <v>50</v>
      </c>
      <c r="AE151" s="90">
        <f>T151-HLOOKUP(V151,Minimas!$C$1:$BN$10,4,FALSE)</f>
        <v>35</v>
      </c>
      <c r="AF151" s="90">
        <f>T151-HLOOKUP(V151,Minimas!$C$1:$BN$10,5,FALSE)</f>
        <v>20</v>
      </c>
      <c r="AG151" s="90">
        <f>T151-HLOOKUP(V151,Minimas!$C$1:$BN$10,6,FALSE)</f>
        <v>0</v>
      </c>
      <c r="AH151" s="90">
        <f>T151-HLOOKUP(V151,Minimas!$C$1:$BN$10,7,FALSE)</f>
        <v>-20</v>
      </c>
      <c r="AI151" s="90">
        <f>T151-HLOOKUP(V151,Minimas!$C$1:$BN$10,8,FALSE)</f>
        <v>-40</v>
      </c>
      <c r="AJ151" s="90">
        <f>T151-HLOOKUP(V151,Minimas!$C$1:$BN$10,9,FALSE)</f>
        <v>-60</v>
      </c>
      <c r="AK151" s="90">
        <f>T151-HLOOKUP(V151,Minimas!$C$1:$BN$10,10,FALSE)</f>
        <v>-75</v>
      </c>
      <c r="AL151" s="91" t="str">
        <f t="shared" ref="AL151:AL152" si="178">IF(E151=0," ",IF(AK151&gt;=0,$AK$7,IF(AJ151&gt;=0,$AJ$7,IF(AI151&gt;=0,$AI$7,IF(AH151&gt;=0,$AH$7,IF(AG151&gt;=0,$AG$7,IF(AF151&gt;=0,$AF$7,IF(AE151&gt;=0,$AE$7,IF(AD151&gt;=0,$AD$7,$AC$7)))))))))</f>
        <v>FED +</v>
      </c>
      <c r="AN151" s="5" t="str">
        <f t="shared" ref="AN151:AN152" si="179">IF(AL151="","",AL151)</f>
        <v>FED +</v>
      </c>
      <c r="AO151" s="5">
        <f t="shared" ref="AO151:AO152" si="180">IF(E151=0," ",IF(AK151&gt;=0,AK151,IF(AJ151&gt;=0,AJ151,IF(AI151&gt;=0,AI151,IF(AH151&gt;=0,AH151,IF(AG151&gt;=0,AG151,IF(AF151&gt;=0,AF151,IF(AE151&gt;=0,AE151,IF(AD151&gt;=0,AD151,AC151)))))))))</f>
        <v>0</v>
      </c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</row>
    <row r="152" spans="1:124" s="5" customFormat="1" ht="27.95" customHeight="1" thickBot="1" x14ac:dyDescent="0.25">
      <c r="B152" s="148" t="s">
        <v>121</v>
      </c>
      <c r="C152" s="161">
        <v>418305</v>
      </c>
      <c r="D152" s="92">
        <v>10</v>
      </c>
      <c r="E152" s="84" t="s">
        <v>108</v>
      </c>
      <c r="F152" s="36" t="s">
        <v>257</v>
      </c>
      <c r="G152" s="37" t="s">
        <v>354</v>
      </c>
      <c r="H152" s="92">
        <v>1988</v>
      </c>
      <c r="I152" s="192" t="s">
        <v>349</v>
      </c>
      <c r="J152" s="35" t="s">
        <v>108</v>
      </c>
      <c r="K152" s="103">
        <v>67.8</v>
      </c>
      <c r="L152" s="38">
        <v>61</v>
      </c>
      <c r="M152" s="39">
        <v>-64</v>
      </c>
      <c r="N152" s="39">
        <v>66</v>
      </c>
      <c r="O152" s="54">
        <f t="shared" si="173"/>
        <v>66</v>
      </c>
      <c r="P152" s="53">
        <v>74</v>
      </c>
      <c r="Q152" s="53">
        <v>-80</v>
      </c>
      <c r="R152" s="53">
        <v>-83</v>
      </c>
      <c r="S152" s="54">
        <f t="shared" si="174"/>
        <v>74</v>
      </c>
      <c r="T152" s="55">
        <f t="shared" si="175"/>
        <v>140</v>
      </c>
      <c r="U152" s="56" t="str">
        <f t="shared" si="176"/>
        <v>FED + 0</v>
      </c>
      <c r="V152" s="86" t="str">
        <f>IF(E152=0," ",IF(E152="H",IF(OR(E152="SEN",H152&lt;1998),VLOOKUP(K152,Minimas!$A$11:$G$29,6),IF(AND(H152&gt;1997,H152&lt;2001),VLOOKUP(K152,Minimas!$A$11:$G$29,5),IF(AND(H152&gt;2000,H152&lt;2003),VLOOKUP(K152,Minimas!$A$11:$G$29,4),IF(AND(H152&gt;2002,H152&lt;2005),VLOOKUP(K152,Minimas!$A$11:$G$29,3),VLOOKUP(K152,Minimas!$A$11:$G$29,2))))),IF(OR(H152="SEN",H152&lt;1998),VLOOKUP(K152,Minimas!$G$11:$L$26,6),IF(AND(H152&gt;1997,H152&lt;2001),VLOOKUP(K152,Minimas!$G$11:$L$26,5),IF(AND(H152&gt;2000,H152&lt;2003),VLOOKUP(K152,Minimas!$G$11:$L$26,4),IF(AND(H152&gt;2002,H152&lt;2005),VLOOKUP(K152,Minimas!$G$11:$L$26,3),VLOOKUP(K152,Minimas!$G$11:$L$26,2)))))))</f>
        <v>FS 69</v>
      </c>
      <c r="W152" s="62">
        <f t="shared" si="177"/>
        <v>175.81046691227135</v>
      </c>
      <c r="X152" s="63"/>
      <c r="Y152" s="156" t="s">
        <v>319</v>
      </c>
      <c r="AC152" s="90">
        <f>T152-HLOOKUP(V152,Minimas!$C$1:$BN$10,2,FALSE)</f>
        <v>60</v>
      </c>
      <c r="AD152" s="90">
        <f>T152-HLOOKUP(V152,Minimas!$C$1:$BN$10,3,FALSE)</f>
        <v>50</v>
      </c>
      <c r="AE152" s="90">
        <f>T152-HLOOKUP(V152,Minimas!$C$1:$BN$10,4,FALSE)</f>
        <v>35</v>
      </c>
      <c r="AF152" s="90">
        <f>T152-HLOOKUP(V152,Minimas!$C$1:$BN$10,5,FALSE)</f>
        <v>20</v>
      </c>
      <c r="AG152" s="90">
        <f>T152-HLOOKUP(V152,Minimas!$C$1:$BN$10,6,FALSE)</f>
        <v>0</v>
      </c>
      <c r="AH152" s="90">
        <f>T152-HLOOKUP(V152,Minimas!$C$1:$BN$10,7,FALSE)</f>
        <v>-20</v>
      </c>
      <c r="AI152" s="90">
        <f>T152-HLOOKUP(V152,Minimas!$C$1:$BN$10,8,FALSE)</f>
        <v>-40</v>
      </c>
      <c r="AJ152" s="90">
        <f>T152-HLOOKUP(V152,Minimas!$C$1:$BN$10,9,FALSE)</f>
        <v>-60</v>
      </c>
      <c r="AK152" s="90">
        <f>T152-HLOOKUP(V152,Minimas!$C$1:$BN$10,10,FALSE)</f>
        <v>-75</v>
      </c>
      <c r="AL152" s="91" t="str">
        <f t="shared" si="178"/>
        <v>FED +</v>
      </c>
      <c r="AN152" s="5" t="str">
        <f t="shared" si="179"/>
        <v>FED +</v>
      </c>
      <c r="AO152" s="5">
        <f t="shared" si="180"/>
        <v>0</v>
      </c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  <c r="BY152" s="97"/>
    </row>
    <row r="153" spans="1:124" s="11" customFormat="1" ht="5.0999999999999996" customHeight="1" thickBot="1" x14ac:dyDescent="0.25">
      <c r="A153" s="8"/>
      <c r="B153" s="147"/>
      <c r="C153" s="160"/>
      <c r="D153" s="41"/>
      <c r="E153" s="41"/>
      <c r="F153" s="42"/>
      <c r="G153" s="43"/>
      <c r="H153" s="44"/>
      <c r="I153" s="193"/>
      <c r="J153" s="40"/>
      <c r="K153" s="101"/>
      <c r="L153" s="45"/>
      <c r="M153" s="45"/>
      <c r="N153" s="45"/>
      <c r="O153" s="46"/>
      <c r="P153" s="45"/>
      <c r="Q153" s="45"/>
      <c r="R153" s="45"/>
      <c r="S153" s="46"/>
      <c r="T153" s="46"/>
      <c r="U153" s="41"/>
      <c r="V153" s="48"/>
      <c r="W153" s="47"/>
      <c r="X153" s="7"/>
      <c r="Y153" s="154"/>
      <c r="Z153" s="7"/>
      <c r="AA153" s="7"/>
      <c r="AB153" s="7"/>
      <c r="AC153" s="89" t="s">
        <v>60</v>
      </c>
      <c r="AD153" s="89" t="s">
        <v>61</v>
      </c>
      <c r="AE153" s="89" t="s">
        <v>62</v>
      </c>
      <c r="AF153" s="89" t="s">
        <v>63</v>
      </c>
      <c r="AG153" s="89" t="s">
        <v>64</v>
      </c>
      <c r="AH153" s="89" t="s">
        <v>65</v>
      </c>
      <c r="AI153" s="89" t="s">
        <v>66</v>
      </c>
      <c r="AJ153" s="89" t="s">
        <v>67</v>
      </c>
      <c r="AK153" s="89" t="s">
        <v>68</v>
      </c>
      <c r="AL153" s="89"/>
      <c r="AM153" s="7"/>
      <c r="AN153" s="7"/>
      <c r="AO153" s="7"/>
      <c r="AP153" s="7"/>
      <c r="AQ153" s="7"/>
      <c r="AR153" s="95"/>
      <c r="AS153" s="95"/>
      <c r="AT153" s="95"/>
      <c r="AU153" s="95"/>
      <c r="AV153" s="95"/>
      <c r="AW153" s="95"/>
      <c r="AX153" s="95"/>
      <c r="AY153" s="95"/>
      <c r="AZ153" s="95"/>
      <c r="BA153" s="95"/>
      <c r="BB153" s="95"/>
      <c r="BC153" s="95"/>
      <c r="BD153" s="95"/>
      <c r="BE153" s="95"/>
      <c r="BF153" s="95"/>
      <c r="BG153" s="95"/>
      <c r="BH153" s="95"/>
      <c r="BI153" s="95"/>
      <c r="BJ153" s="95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5"/>
      <c r="BW153" s="95"/>
      <c r="BX153" s="95"/>
      <c r="BY153" s="95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</row>
    <row r="154" spans="1:124" s="5" customFormat="1" ht="27.95" customHeight="1" x14ac:dyDescent="0.2">
      <c r="B154" s="148" t="s">
        <v>123</v>
      </c>
      <c r="C154" s="161">
        <v>319461</v>
      </c>
      <c r="D154" s="92">
        <v>1</v>
      </c>
      <c r="E154" s="84" t="s">
        <v>108</v>
      </c>
      <c r="F154" s="36" t="s">
        <v>217</v>
      </c>
      <c r="G154" s="37" t="s">
        <v>656</v>
      </c>
      <c r="H154" s="92">
        <v>1984</v>
      </c>
      <c r="I154" s="192" t="s">
        <v>127</v>
      </c>
      <c r="J154" s="35" t="s">
        <v>108</v>
      </c>
      <c r="K154" s="103">
        <v>73.900000000000006</v>
      </c>
      <c r="L154" s="38">
        <v>62</v>
      </c>
      <c r="M154" s="39">
        <v>65</v>
      </c>
      <c r="N154" s="39">
        <v>68</v>
      </c>
      <c r="O154" s="54">
        <f t="shared" ref="O154:O159" si="181">IF(E154="","",IF(MAXA(L154:N154)&lt;=0,0,MAXA(L154:N154)))</f>
        <v>68</v>
      </c>
      <c r="P154" s="53">
        <v>82</v>
      </c>
      <c r="Q154" s="53">
        <v>86</v>
      </c>
      <c r="R154" s="53">
        <v>88</v>
      </c>
      <c r="S154" s="54">
        <f t="shared" ref="S154:S159" si="182">IF(E154="","",IF(MAXA(P154:R154)&lt;=0,0,MAXA(P154:R154)))</f>
        <v>88</v>
      </c>
      <c r="T154" s="55">
        <f t="shared" ref="T154:T159" si="183">IF(E154="","",IF(OR(O154=0,S154=0),0,O154+S154))</f>
        <v>156</v>
      </c>
      <c r="U154" s="56" t="str">
        <f t="shared" ref="U154:U159" si="184">+CONCATENATE(AN154," ",AO154)</f>
        <v>FED + 11</v>
      </c>
      <c r="V154" s="86" t="str">
        <f>IF(E154=0," ",IF(E154="H",IF(OR(E154="SEN",H154&lt;1998),VLOOKUP(K154,Minimas!$A$11:$G$29,6),IF(AND(H154&gt;1997,H154&lt;2001),VLOOKUP(K154,Minimas!$A$11:$G$29,5),IF(AND(H154&gt;2000,H154&lt;2003),VLOOKUP(K154,Minimas!$A$11:$G$29,4),IF(AND(H154&gt;2002,H154&lt;2005),VLOOKUP(K154,Minimas!$A$11:$G$29,3),VLOOKUP(K154,Minimas!$A$11:$G$29,2))))),IF(OR(H154="SEN",H154&lt;1998),VLOOKUP(K154,Minimas!$G$11:$L$26,6),IF(AND(H154&gt;1997,H154&lt;2001),VLOOKUP(K154,Minimas!$G$11:$L$26,5),IF(AND(H154&gt;2000,H154&lt;2003),VLOOKUP(K154,Minimas!$G$11:$L$26,4),IF(AND(H154&gt;2002,H154&lt;2005),VLOOKUP(K154,Minimas!$G$11:$L$26,3),VLOOKUP(K154,Minimas!$G$11:$L$26,2)))))))</f>
        <v>FS 75</v>
      </c>
      <c r="W154" s="62">
        <f t="shared" ref="W154:W159" si="185">IF(E154=" "," ",IF(E154="H",10^(0.75194503*LOG(K154/175.508)^2)*T154,IF(E154="F",10^(0.783497476* LOG(K154/153.655)^2)*T154,"")))</f>
        <v>187.20019621562358</v>
      </c>
      <c r="X154" s="63"/>
      <c r="Y154" s="156" t="s">
        <v>319</v>
      </c>
      <c r="AC154" s="90">
        <f>T154-HLOOKUP(V154,Minimas!$C$1:$BN$10,2,FALSE)</f>
        <v>66</v>
      </c>
      <c r="AD154" s="90">
        <f>T154-HLOOKUP(V154,Minimas!$C$1:$BN$10,3,FALSE)</f>
        <v>56</v>
      </c>
      <c r="AE154" s="90">
        <f>T154-HLOOKUP(V154,Minimas!$C$1:$BN$10,4,FALSE)</f>
        <v>41</v>
      </c>
      <c r="AF154" s="90">
        <f>T154-HLOOKUP(V154,Minimas!$C$1:$BN$10,5,FALSE)</f>
        <v>26</v>
      </c>
      <c r="AG154" s="90">
        <f>T154-HLOOKUP(V154,Minimas!$C$1:$BN$10,6,FALSE)</f>
        <v>11</v>
      </c>
      <c r="AH154" s="90">
        <f>T154-HLOOKUP(V154,Minimas!$C$1:$BN$10,7,FALSE)</f>
        <v>-9</v>
      </c>
      <c r="AI154" s="90">
        <f>T154-HLOOKUP(V154,Minimas!$C$1:$BN$10,8,FALSE)</f>
        <v>-29</v>
      </c>
      <c r="AJ154" s="90">
        <f>T154-HLOOKUP(V154,Minimas!$C$1:$BN$10,9,FALSE)</f>
        <v>-49</v>
      </c>
      <c r="AK154" s="90">
        <f>T154-HLOOKUP(V154,Minimas!$C$1:$BN$10,10,FALSE)</f>
        <v>-64</v>
      </c>
      <c r="AL154" s="91" t="str">
        <f t="shared" ref="AL154:AL159" si="186">IF(E154=0," ",IF(AK154&gt;=0,$AK$7,IF(AJ154&gt;=0,$AJ$7,IF(AI154&gt;=0,$AI$7,IF(AH154&gt;=0,$AH$7,IF(AG154&gt;=0,$AG$7,IF(AF154&gt;=0,$AF$7,IF(AE154&gt;=0,$AE$7,IF(AD154&gt;=0,$AD$7,$AC$7)))))))))</f>
        <v>FED +</v>
      </c>
      <c r="AN154" s="5" t="str">
        <f t="shared" ref="AN154:AN159" si="187">IF(AL154="","",AL154)</f>
        <v>FED +</v>
      </c>
      <c r="AO154" s="5">
        <f t="shared" ref="AO154:AO159" si="188">IF(E154=0," ",IF(AK154&gt;=0,AK154,IF(AJ154&gt;=0,AJ154,IF(AI154&gt;=0,AI154,IF(AH154&gt;=0,AH154,IF(AG154&gt;=0,AG154,IF(AF154&gt;=0,AF154,IF(AE154&gt;=0,AE154,IF(AD154&gt;=0,AD154,AC154)))))))))</f>
        <v>11</v>
      </c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</row>
    <row r="155" spans="1:124" s="5" customFormat="1" ht="27.95" customHeight="1" x14ac:dyDescent="0.2">
      <c r="B155" s="148" t="s">
        <v>123</v>
      </c>
      <c r="C155" s="161">
        <v>348083</v>
      </c>
      <c r="D155" s="92">
        <v>2</v>
      </c>
      <c r="E155" s="84" t="s">
        <v>108</v>
      </c>
      <c r="F155" s="36" t="s">
        <v>214</v>
      </c>
      <c r="G155" s="37" t="s">
        <v>657</v>
      </c>
      <c r="H155" s="92">
        <v>1997</v>
      </c>
      <c r="I155" s="192" t="s">
        <v>119</v>
      </c>
      <c r="J155" s="35" t="s">
        <v>108</v>
      </c>
      <c r="K155" s="103">
        <v>70.900000000000006</v>
      </c>
      <c r="L155" s="38">
        <v>62</v>
      </c>
      <c r="M155" s="39">
        <v>65</v>
      </c>
      <c r="N155" s="39">
        <v>67</v>
      </c>
      <c r="O155" s="54">
        <f t="shared" si="181"/>
        <v>67</v>
      </c>
      <c r="P155" s="53">
        <v>83</v>
      </c>
      <c r="Q155" s="53">
        <v>86</v>
      </c>
      <c r="R155" s="53">
        <v>-90</v>
      </c>
      <c r="S155" s="54">
        <f t="shared" si="182"/>
        <v>86</v>
      </c>
      <c r="T155" s="55">
        <f t="shared" si="183"/>
        <v>153</v>
      </c>
      <c r="U155" s="56" t="str">
        <f t="shared" si="184"/>
        <v>FED + 8</v>
      </c>
      <c r="V155" s="86" t="str">
        <f>IF(E155=0," ",IF(E155="H",IF(OR(E155="SEN",H155&lt;1998),VLOOKUP(K155,Minimas!$A$11:$G$29,6),IF(AND(H155&gt;1997,H155&lt;2001),VLOOKUP(K155,Minimas!$A$11:$G$29,5),IF(AND(H155&gt;2000,H155&lt;2003),VLOOKUP(K155,Minimas!$A$11:$G$29,4),IF(AND(H155&gt;2002,H155&lt;2005),VLOOKUP(K155,Minimas!$A$11:$G$29,3),VLOOKUP(K155,Minimas!$A$11:$G$29,2))))),IF(OR(H155="SEN",H155&lt;1998),VLOOKUP(K155,Minimas!$G$11:$L$26,6),IF(AND(H155&gt;1997,H155&lt;2001),VLOOKUP(K155,Minimas!$G$11:$L$26,5),IF(AND(H155&gt;2000,H155&lt;2003),VLOOKUP(K155,Minimas!$G$11:$L$26,4),IF(AND(H155&gt;2002,H155&lt;2005),VLOOKUP(K155,Minimas!$G$11:$L$26,3),VLOOKUP(K155,Minimas!$G$11:$L$26,2)))))))</f>
        <v>FS 75</v>
      </c>
      <c r="W155" s="62">
        <f t="shared" si="185"/>
        <v>187.53950342343879</v>
      </c>
      <c r="X155" s="63"/>
      <c r="Y155" s="157" t="s">
        <v>131</v>
      </c>
      <c r="AC155" s="90">
        <f>T155-HLOOKUP(V155,Minimas!$C$1:$BN$10,2,FALSE)</f>
        <v>63</v>
      </c>
      <c r="AD155" s="90">
        <f>T155-HLOOKUP(V155,Minimas!$C$1:$BN$10,3,FALSE)</f>
        <v>53</v>
      </c>
      <c r="AE155" s="90">
        <f>T155-HLOOKUP(V155,Minimas!$C$1:$BN$10,4,FALSE)</f>
        <v>38</v>
      </c>
      <c r="AF155" s="90">
        <f>T155-HLOOKUP(V155,Minimas!$C$1:$BN$10,5,FALSE)</f>
        <v>23</v>
      </c>
      <c r="AG155" s="90">
        <f>T155-HLOOKUP(V155,Minimas!$C$1:$BN$10,6,FALSE)</f>
        <v>8</v>
      </c>
      <c r="AH155" s="90">
        <f>T155-HLOOKUP(V155,Minimas!$C$1:$BN$10,7,FALSE)</f>
        <v>-12</v>
      </c>
      <c r="AI155" s="90">
        <f>T155-HLOOKUP(V155,Minimas!$C$1:$BN$10,8,FALSE)</f>
        <v>-32</v>
      </c>
      <c r="AJ155" s="90">
        <f>T155-HLOOKUP(V155,Minimas!$C$1:$BN$10,9,FALSE)</f>
        <v>-52</v>
      </c>
      <c r="AK155" s="90">
        <f>T155-HLOOKUP(V155,Minimas!$C$1:$BN$10,10,FALSE)</f>
        <v>-67</v>
      </c>
      <c r="AL155" s="91" t="str">
        <f t="shared" si="186"/>
        <v>FED +</v>
      </c>
      <c r="AN155" s="5" t="str">
        <f t="shared" si="187"/>
        <v>FED +</v>
      </c>
      <c r="AO155" s="5">
        <f t="shared" si="188"/>
        <v>8</v>
      </c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  <c r="BY155" s="97"/>
    </row>
    <row r="156" spans="1:124" s="5" customFormat="1" ht="27.95" customHeight="1" x14ac:dyDescent="0.2">
      <c r="B156" s="148" t="s">
        <v>122</v>
      </c>
      <c r="C156" s="161">
        <v>406408</v>
      </c>
      <c r="D156" s="92">
        <v>3</v>
      </c>
      <c r="E156" s="84" t="s">
        <v>108</v>
      </c>
      <c r="F156" s="36" t="s">
        <v>215</v>
      </c>
      <c r="G156" s="37" t="s">
        <v>216</v>
      </c>
      <c r="H156" s="92">
        <v>1991</v>
      </c>
      <c r="I156" s="192" t="s">
        <v>625</v>
      </c>
      <c r="J156" s="35" t="s">
        <v>108</v>
      </c>
      <c r="K156" s="103">
        <v>74.400000000000006</v>
      </c>
      <c r="L156" s="38">
        <v>65</v>
      </c>
      <c r="M156" s="39">
        <v>68</v>
      </c>
      <c r="N156" s="39">
        <v>-70</v>
      </c>
      <c r="O156" s="54">
        <f t="shared" si="181"/>
        <v>68</v>
      </c>
      <c r="P156" s="53">
        <v>-85</v>
      </c>
      <c r="Q156" s="53">
        <v>85</v>
      </c>
      <c r="R156" s="53">
        <v>-88</v>
      </c>
      <c r="S156" s="54">
        <f t="shared" si="182"/>
        <v>85</v>
      </c>
      <c r="T156" s="55">
        <f t="shared" si="183"/>
        <v>153</v>
      </c>
      <c r="U156" s="56" t="str">
        <f t="shared" si="184"/>
        <v>FED + 8</v>
      </c>
      <c r="V156" s="86" t="str">
        <f>IF(E156=0," ",IF(E156="H",IF(OR(E156="SEN",H156&lt;1998),VLOOKUP(K156,Minimas!$A$11:$G$29,6),IF(AND(H156&gt;1997,H156&lt;2001),VLOOKUP(K156,Minimas!$A$11:$G$29,5),IF(AND(H156&gt;2000,H156&lt;2003),VLOOKUP(K156,Minimas!$A$11:$G$29,4),IF(AND(H156&gt;2002,H156&lt;2005),VLOOKUP(K156,Minimas!$A$11:$G$29,3),VLOOKUP(K156,Minimas!$A$11:$G$29,2))))),IF(OR(H156="SEN",H156&lt;1998),VLOOKUP(K156,Minimas!$G$11:$L$26,6),IF(AND(H156&gt;1997,H156&lt;2001),VLOOKUP(K156,Minimas!$G$11:$L$26,5),IF(AND(H156&gt;2000,H156&lt;2003),VLOOKUP(K156,Minimas!$G$11:$L$26,4),IF(AND(H156&gt;2002,H156&lt;2005),VLOOKUP(K156,Minimas!$G$11:$L$26,3),VLOOKUP(K156,Minimas!$G$11:$L$26,2)))))))</f>
        <v>FS 75</v>
      </c>
      <c r="W156" s="62">
        <f t="shared" si="185"/>
        <v>182.98732858044218</v>
      </c>
      <c r="X156" s="63"/>
      <c r="Y156" s="157" t="s">
        <v>131</v>
      </c>
      <c r="AC156" s="90">
        <f>T156-HLOOKUP(V156,Minimas!$C$1:$BN$10,2,FALSE)</f>
        <v>63</v>
      </c>
      <c r="AD156" s="90">
        <f>T156-HLOOKUP(V156,Minimas!$C$1:$BN$10,3,FALSE)</f>
        <v>53</v>
      </c>
      <c r="AE156" s="90">
        <f>T156-HLOOKUP(V156,Minimas!$C$1:$BN$10,4,FALSE)</f>
        <v>38</v>
      </c>
      <c r="AF156" s="90">
        <f>T156-HLOOKUP(V156,Minimas!$C$1:$BN$10,5,FALSE)</f>
        <v>23</v>
      </c>
      <c r="AG156" s="90">
        <f>T156-HLOOKUP(V156,Minimas!$C$1:$BN$10,6,FALSE)</f>
        <v>8</v>
      </c>
      <c r="AH156" s="90">
        <f>T156-HLOOKUP(V156,Minimas!$C$1:$BN$10,7,FALSE)</f>
        <v>-12</v>
      </c>
      <c r="AI156" s="90">
        <f>T156-HLOOKUP(V156,Minimas!$C$1:$BN$10,8,FALSE)</f>
        <v>-32</v>
      </c>
      <c r="AJ156" s="90">
        <f>T156-HLOOKUP(V156,Minimas!$C$1:$BN$10,9,FALSE)</f>
        <v>-52</v>
      </c>
      <c r="AK156" s="90">
        <f>T156-HLOOKUP(V156,Minimas!$C$1:$BN$10,10,FALSE)</f>
        <v>-67</v>
      </c>
      <c r="AL156" s="91" t="str">
        <f t="shared" si="186"/>
        <v>FED +</v>
      </c>
      <c r="AN156" s="5" t="str">
        <f t="shared" si="187"/>
        <v>FED +</v>
      </c>
      <c r="AO156" s="5">
        <f t="shared" si="188"/>
        <v>8</v>
      </c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  <c r="BY156" s="97"/>
    </row>
    <row r="157" spans="1:124" s="5" customFormat="1" ht="27.95" customHeight="1" x14ac:dyDescent="0.2">
      <c r="B157" s="201" t="s">
        <v>138</v>
      </c>
      <c r="C157" s="202">
        <v>358338</v>
      </c>
      <c r="D157" s="106">
        <v>4</v>
      </c>
      <c r="E157" s="107" t="s">
        <v>108</v>
      </c>
      <c r="F157" s="108" t="s">
        <v>143</v>
      </c>
      <c r="G157" s="109" t="s">
        <v>654</v>
      </c>
      <c r="H157" s="106">
        <v>1974</v>
      </c>
      <c r="I157" s="204" t="s">
        <v>541</v>
      </c>
      <c r="J157" s="110" t="s">
        <v>108</v>
      </c>
      <c r="K157" s="111">
        <v>69.099999999999994</v>
      </c>
      <c r="L157" s="112">
        <v>63</v>
      </c>
      <c r="M157" s="113">
        <v>67</v>
      </c>
      <c r="N157" s="113">
        <v>-70</v>
      </c>
      <c r="O157" s="114">
        <f t="shared" si="181"/>
        <v>67</v>
      </c>
      <c r="P157" s="115">
        <v>78</v>
      </c>
      <c r="Q157" s="115">
        <v>80</v>
      </c>
      <c r="R157" s="115">
        <v>82</v>
      </c>
      <c r="S157" s="114">
        <f t="shared" si="182"/>
        <v>82</v>
      </c>
      <c r="T157" s="116">
        <f t="shared" si="183"/>
        <v>149</v>
      </c>
      <c r="U157" s="117" t="str">
        <f t="shared" si="184"/>
        <v>FED + 4</v>
      </c>
      <c r="V157" s="118" t="str">
        <f>IF(E157=0," ",IF(E157="H",IF(OR(E157="SEN",H157&lt;1998),VLOOKUP(K157,Minimas!$A$11:$G$29,6),IF(AND(H157&gt;1997,H157&lt;2001),VLOOKUP(K157,Minimas!$A$11:$G$29,5),IF(AND(H157&gt;2000,H157&lt;2003),VLOOKUP(K157,Minimas!$A$11:$G$29,4),IF(AND(H157&gt;2002,H157&lt;2005),VLOOKUP(K157,Minimas!$A$11:$G$29,3),VLOOKUP(K157,Minimas!$A$11:$G$29,2))))),IF(OR(H157="SEN",H157&lt;1998),VLOOKUP(K157,Minimas!$G$11:$L$26,6),IF(AND(H157&gt;1997,H157&lt;2001),VLOOKUP(K157,Minimas!$G$11:$L$26,5),IF(AND(H157&gt;2000,H157&lt;2003),VLOOKUP(K157,Minimas!$G$11:$L$26,4),IF(AND(H157&gt;2002,H157&lt;2005),VLOOKUP(K157,Minimas!$G$11:$L$26,3),VLOOKUP(K157,Minimas!$G$11:$L$26,2)))))))</f>
        <v>FS 75</v>
      </c>
      <c r="W157" s="119">
        <f t="shared" si="185"/>
        <v>185.16706708680877</v>
      </c>
      <c r="X157" s="63"/>
      <c r="Y157" s="156" t="s">
        <v>319</v>
      </c>
      <c r="AC157" s="90">
        <f>T157-HLOOKUP(V157,Minimas!$C$1:$BN$10,2,FALSE)</f>
        <v>59</v>
      </c>
      <c r="AD157" s="90">
        <f>T157-HLOOKUP(V157,Minimas!$C$1:$BN$10,3,FALSE)</f>
        <v>49</v>
      </c>
      <c r="AE157" s="90">
        <f>T157-HLOOKUP(V157,Minimas!$C$1:$BN$10,4,FALSE)</f>
        <v>34</v>
      </c>
      <c r="AF157" s="90">
        <f>T157-HLOOKUP(V157,Minimas!$C$1:$BN$10,5,FALSE)</f>
        <v>19</v>
      </c>
      <c r="AG157" s="90">
        <f>T157-HLOOKUP(V157,Minimas!$C$1:$BN$10,6,FALSE)</f>
        <v>4</v>
      </c>
      <c r="AH157" s="90">
        <f>T157-HLOOKUP(V157,Minimas!$C$1:$BN$10,7,FALSE)</f>
        <v>-16</v>
      </c>
      <c r="AI157" s="90">
        <f>T157-HLOOKUP(V157,Minimas!$C$1:$BN$10,8,FALSE)</f>
        <v>-36</v>
      </c>
      <c r="AJ157" s="90">
        <f>T157-HLOOKUP(V157,Minimas!$C$1:$BN$10,9,FALSE)</f>
        <v>-56</v>
      </c>
      <c r="AK157" s="90">
        <f>T157-HLOOKUP(V157,Minimas!$C$1:$BN$10,10,FALSE)</f>
        <v>-71</v>
      </c>
      <c r="AL157" s="91" t="str">
        <f t="shared" si="186"/>
        <v>FED +</v>
      </c>
      <c r="AN157" s="5" t="str">
        <f t="shared" si="187"/>
        <v>FED +</v>
      </c>
      <c r="AO157" s="5">
        <f t="shared" si="188"/>
        <v>4</v>
      </c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  <c r="BW157" s="97"/>
      <c r="BX157" s="97"/>
      <c r="BY157" s="97"/>
    </row>
    <row r="158" spans="1:124" s="5" customFormat="1" ht="27.95" customHeight="1" x14ac:dyDescent="0.2">
      <c r="B158" s="148" t="s">
        <v>123</v>
      </c>
      <c r="C158" s="161">
        <v>34517</v>
      </c>
      <c r="D158" s="92">
        <v>5</v>
      </c>
      <c r="E158" s="84" t="s">
        <v>108</v>
      </c>
      <c r="F158" s="36" t="s">
        <v>218</v>
      </c>
      <c r="G158" s="37" t="s">
        <v>647</v>
      </c>
      <c r="H158" s="92">
        <v>1985</v>
      </c>
      <c r="I158" s="192" t="s">
        <v>142</v>
      </c>
      <c r="J158" s="35" t="s">
        <v>108</v>
      </c>
      <c r="K158" s="103">
        <v>71.099999999999994</v>
      </c>
      <c r="L158" s="38">
        <v>67</v>
      </c>
      <c r="M158" s="39">
        <v>-70</v>
      </c>
      <c r="N158" s="39">
        <v>-70</v>
      </c>
      <c r="O158" s="54">
        <f t="shared" ref="O158" si="189">IF(E158="","",IF(MAXA(L158:N158)&lt;=0,0,MAXA(L158:N158)))</f>
        <v>67</v>
      </c>
      <c r="P158" s="53">
        <v>72</v>
      </c>
      <c r="Q158" s="53">
        <v>80</v>
      </c>
      <c r="R158" s="53">
        <v>-85</v>
      </c>
      <c r="S158" s="54">
        <f t="shared" ref="S158" si="190">IF(E158="","",IF(MAXA(P158:R158)&lt;=0,0,MAXA(P158:R158)))</f>
        <v>80</v>
      </c>
      <c r="T158" s="55">
        <f t="shared" ref="T158" si="191">IF(E158="","",IF(OR(O158=0,S158=0),0,O158+S158))</f>
        <v>147</v>
      </c>
      <c r="U158" s="56" t="str">
        <f t="shared" ref="U158" si="192">+CONCATENATE(AN158," ",AO158)</f>
        <v>FED + 2</v>
      </c>
      <c r="V158" s="86" t="str">
        <f>IF(E158=0," ",IF(E158="H",IF(OR(E158="SEN",H158&lt;1998),VLOOKUP(K158,Minimas!$A$11:$G$29,6),IF(AND(H158&gt;1997,H158&lt;2001),VLOOKUP(K158,Minimas!$A$11:$G$29,5),IF(AND(H158&gt;2000,H158&lt;2003),VLOOKUP(K158,Minimas!$A$11:$G$29,4),IF(AND(H158&gt;2002,H158&lt;2005),VLOOKUP(K158,Minimas!$A$11:$G$29,3),VLOOKUP(K158,Minimas!$A$11:$G$29,2))))),IF(OR(H158="SEN",H158&lt;1998),VLOOKUP(K158,Minimas!$G$11:$L$26,6),IF(AND(H158&gt;1997,H158&lt;2001),VLOOKUP(K158,Minimas!$G$11:$L$26,5),IF(AND(H158&gt;2000,H158&lt;2003),VLOOKUP(K158,Minimas!$G$11:$L$26,4),IF(AND(H158&gt;2002,H158&lt;2005),VLOOKUP(K158,Minimas!$G$11:$L$26,3),VLOOKUP(K158,Minimas!$G$11:$L$26,2)))))))</f>
        <v>FS 75</v>
      </c>
      <c r="W158" s="62">
        <f t="shared" ref="W158" si="193">IF(E158=" "," ",IF(E158="H",10^(0.75194503*LOG(K158/175.508)^2)*T158,IF(E158="F",10^(0.783497476* LOG(K158/153.655)^2)*T158,"")))</f>
        <v>179.91853845533896</v>
      </c>
      <c r="X158" s="63"/>
      <c r="Y158" s="155" t="s">
        <v>441</v>
      </c>
      <c r="AC158" s="90">
        <f>T158-HLOOKUP(V158,Minimas!$C$1:$BN$10,2,FALSE)</f>
        <v>57</v>
      </c>
      <c r="AD158" s="90">
        <f>T158-HLOOKUP(V158,Minimas!$C$1:$BN$10,3,FALSE)</f>
        <v>47</v>
      </c>
      <c r="AE158" s="90">
        <f>T158-HLOOKUP(V158,Minimas!$C$1:$BN$10,4,FALSE)</f>
        <v>32</v>
      </c>
      <c r="AF158" s="90">
        <f>T158-HLOOKUP(V158,Minimas!$C$1:$BN$10,5,FALSE)</f>
        <v>17</v>
      </c>
      <c r="AG158" s="90">
        <f>T158-HLOOKUP(V158,Minimas!$C$1:$BN$10,6,FALSE)</f>
        <v>2</v>
      </c>
      <c r="AH158" s="90">
        <f>T158-HLOOKUP(V158,Minimas!$C$1:$BN$10,7,FALSE)</f>
        <v>-18</v>
      </c>
      <c r="AI158" s="90">
        <f>T158-HLOOKUP(V158,Minimas!$C$1:$BN$10,8,FALSE)</f>
        <v>-38</v>
      </c>
      <c r="AJ158" s="90">
        <f>T158-HLOOKUP(V158,Minimas!$C$1:$BN$10,9,FALSE)</f>
        <v>-58</v>
      </c>
      <c r="AK158" s="90">
        <f>T158-HLOOKUP(V158,Minimas!$C$1:$BN$10,10,FALSE)</f>
        <v>-73</v>
      </c>
      <c r="AL158" s="91" t="str">
        <f t="shared" ref="AL158" si="194">IF(E158=0," ",IF(AK158&gt;=0,$AK$7,IF(AJ158&gt;=0,$AJ$7,IF(AI158&gt;=0,$AI$7,IF(AH158&gt;=0,$AH$7,IF(AG158&gt;=0,$AG$7,IF(AF158&gt;=0,$AF$7,IF(AE158&gt;=0,$AE$7,IF(AD158&gt;=0,$AD$7,$AC$7)))))))))</f>
        <v>FED +</v>
      </c>
      <c r="AN158" s="5" t="str">
        <f t="shared" ref="AN158" si="195">IF(AL158="","",AL158)</f>
        <v>FED +</v>
      </c>
      <c r="AO158" s="5">
        <f t="shared" ref="AO158" si="196">IF(E158=0," ",IF(AK158&gt;=0,AK158,IF(AJ158&gt;=0,AJ158,IF(AI158&gt;=0,AI158,IF(AH158&gt;=0,AH158,IF(AG158&gt;=0,AG158,IF(AF158&gt;=0,AF158,IF(AE158&gt;=0,AE158,IF(AD158&gt;=0,AD158,AC158)))))))))</f>
        <v>2</v>
      </c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  <c r="BY158" s="97"/>
    </row>
    <row r="159" spans="1:124" s="5" customFormat="1" ht="27.95" customHeight="1" thickBot="1" x14ac:dyDescent="0.25">
      <c r="B159" s="148" t="s">
        <v>124</v>
      </c>
      <c r="C159" s="161">
        <v>380682</v>
      </c>
      <c r="D159" s="92">
        <v>6</v>
      </c>
      <c r="E159" s="84" t="s">
        <v>108</v>
      </c>
      <c r="F159" s="36" t="s">
        <v>477</v>
      </c>
      <c r="G159" s="37" t="s">
        <v>173</v>
      </c>
      <c r="H159" s="92">
        <v>1990</v>
      </c>
      <c r="I159" s="192" t="s">
        <v>552</v>
      </c>
      <c r="J159" s="35" t="s">
        <v>108</v>
      </c>
      <c r="K159" s="103">
        <v>72.900000000000006</v>
      </c>
      <c r="L159" s="38">
        <v>63</v>
      </c>
      <c r="M159" s="39">
        <v>65</v>
      </c>
      <c r="N159" s="39">
        <v>-67</v>
      </c>
      <c r="O159" s="54">
        <f t="shared" si="181"/>
        <v>65</v>
      </c>
      <c r="P159" s="53">
        <v>-80</v>
      </c>
      <c r="Q159" s="53">
        <v>-80</v>
      </c>
      <c r="R159" s="53">
        <v>80</v>
      </c>
      <c r="S159" s="54">
        <f t="shared" si="182"/>
        <v>80</v>
      </c>
      <c r="T159" s="55">
        <f t="shared" si="183"/>
        <v>145</v>
      </c>
      <c r="U159" s="56" t="str">
        <f t="shared" si="184"/>
        <v>FED + 0</v>
      </c>
      <c r="V159" s="86" t="str">
        <f>IF(E159=0," ",IF(E159="H",IF(OR(E159="SEN",H159&lt;1998),VLOOKUP(K159,Minimas!$A$11:$G$29,6),IF(AND(H159&gt;1997,H159&lt;2001),VLOOKUP(K159,Minimas!$A$11:$G$29,5),IF(AND(H159&gt;2000,H159&lt;2003),VLOOKUP(K159,Minimas!$A$11:$G$29,4),IF(AND(H159&gt;2002,H159&lt;2005),VLOOKUP(K159,Minimas!$A$11:$G$29,3),VLOOKUP(K159,Minimas!$A$11:$G$29,2))))),IF(OR(H159="SEN",H159&lt;1998),VLOOKUP(K159,Minimas!$G$11:$L$26,6),IF(AND(H159&gt;1997,H159&lt;2001),VLOOKUP(K159,Minimas!$G$11:$L$26,5),IF(AND(H159&gt;2000,H159&lt;2003),VLOOKUP(K159,Minimas!$G$11:$L$26,4),IF(AND(H159&gt;2002,H159&lt;2005),VLOOKUP(K159,Minimas!$G$11:$L$26,3),VLOOKUP(K159,Minimas!$G$11:$L$26,2)))))))</f>
        <v>FS 75</v>
      </c>
      <c r="W159" s="62">
        <f t="shared" si="185"/>
        <v>175.19618691351303</v>
      </c>
      <c r="X159" s="63"/>
      <c r="Y159" s="155" t="s">
        <v>441</v>
      </c>
      <c r="AC159" s="90">
        <f>T159-HLOOKUP(V159,Minimas!$C$1:$BN$10,2,FALSE)</f>
        <v>55</v>
      </c>
      <c r="AD159" s="90">
        <f>T159-HLOOKUP(V159,Minimas!$C$1:$BN$10,3,FALSE)</f>
        <v>45</v>
      </c>
      <c r="AE159" s="90">
        <f>T159-HLOOKUP(V159,Minimas!$C$1:$BN$10,4,FALSE)</f>
        <v>30</v>
      </c>
      <c r="AF159" s="90">
        <f>T159-HLOOKUP(V159,Minimas!$C$1:$BN$10,5,FALSE)</f>
        <v>15</v>
      </c>
      <c r="AG159" s="90">
        <f>T159-HLOOKUP(V159,Minimas!$C$1:$BN$10,6,FALSE)</f>
        <v>0</v>
      </c>
      <c r="AH159" s="90">
        <f>T159-HLOOKUP(V159,Minimas!$C$1:$BN$10,7,FALSE)</f>
        <v>-20</v>
      </c>
      <c r="AI159" s="90">
        <f>T159-HLOOKUP(V159,Minimas!$C$1:$BN$10,8,FALSE)</f>
        <v>-40</v>
      </c>
      <c r="AJ159" s="90">
        <f>T159-HLOOKUP(V159,Minimas!$C$1:$BN$10,9,FALSE)</f>
        <v>-60</v>
      </c>
      <c r="AK159" s="90">
        <f>T159-HLOOKUP(V159,Minimas!$C$1:$BN$10,10,FALSE)</f>
        <v>-75</v>
      </c>
      <c r="AL159" s="91" t="str">
        <f t="shared" si="186"/>
        <v>FED +</v>
      </c>
      <c r="AN159" s="5" t="str">
        <f t="shared" si="187"/>
        <v>FED +</v>
      </c>
      <c r="AO159" s="5">
        <f t="shared" si="188"/>
        <v>0</v>
      </c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  <c r="BY159" s="97"/>
    </row>
    <row r="160" spans="1:124" s="11" customFormat="1" ht="5.0999999999999996" customHeight="1" thickBot="1" x14ac:dyDescent="0.25">
      <c r="A160" s="8"/>
      <c r="B160" s="147"/>
      <c r="C160" s="160"/>
      <c r="D160" s="41"/>
      <c r="E160" s="41"/>
      <c r="F160" s="42"/>
      <c r="G160" s="43"/>
      <c r="H160" s="44"/>
      <c r="I160" s="193"/>
      <c r="J160" s="40"/>
      <c r="K160" s="101"/>
      <c r="L160" s="45"/>
      <c r="M160" s="45"/>
      <c r="N160" s="45"/>
      <c r="O160" s="46"/>
      <c r="P160" s="45"/>
      <c r="Q160" s="45"/>
      <c r="R160" s="45"/>
      <c r="S160" s="46"/>
      <c r="T160" s="46"/>
      <c r="U160" s="41"/>
      <c r="V160" s="48"/>
      <c r="W160" s="47"/>
      <c r="X160" s="7"/>
      <c r="Y160" s="154"/>
      <c r="Z160" s="7"/>
      <c r="AA160" s="7"/>
      <c r="AB160" s="7"/>
      <c r="AC160" s="89" t="s">
        <v>60</v>
      </c>
      <c r="AD160" s="89" t="s">
        <v>61</v>
      </c>
      <c r="AE160" s="89" t="s">
        <v>62</v>
      </c>
      <c r="AF160" s="89" t="s">
        <v>63</v>
      </c>
      <c r="AG160" s="89" t="s">
        <v>64</v>
      </c>
      <c r="AH160" s="89" t="s">
        <v>65</v>
      </c>
      <c r="AI160" s="89" t="s">
        <v>66</v>
      </c>
      <c r="AJ160" s="89" t="s">
        <v>67</v>
      </c>
      <c r="AK160" s="89" t="s">
        <v>68</v>
      </c>
      <c r="AL160" s="89"/>
      <c r="AM160" s="7"/>
      <c r="AN160" s="7"/>
      <c r="AO160" s="7"/>
      <c r="AP160" s="7"/>
      <c r="AQ160" s="7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</row>
    <row r="161" spans="1:77" s="5" customFormat="1" ht="27.95" customHeight="1" x14ac:dyDescent="0.2">
      <c r="B161" s="148" t="s">
        <v>129</v>
      </c>
      <c r="C161" s="161">
        <v>426794</v>
      </c>
      <c r="D161" s="92">
        <v>1</v>
      </c>
      <c r="E161" s="84" t="s">
        <v>108</v>
      </c>
      <c r="F161" s="36" t="s">
        <v>219</v>
      </c>
      <c r="G161" s="37" t="s">
        <v>658</v>
      </c>
      <c r="H161" s="92">
        <v>1993</v>
      </c>
      <c r="I161" s="192" t="s">
        <v>321</v>
      </c>
      <c r="J161" s="35" t="s">
        <v>108</v>
      </c>
      <c r="K161" s="103">
        <v>84.8</v>
      </c>
      <c r="L161" s="38">
        <v>66</v>
      </c>
      <c r="M161" s="39">
        <v>68</v>
      </c>
      <c r="N161" s="39">
        <v>70</v>
      </c>
      <c r="O161" s="54">
        <f t="shared" ref="O161:O164" si="197">IF(E161="","",IF(MAXA(L161:N161)&lt;=0,0,MAXA(L161:N161)))</f>
        <v>70</v>
      </c>
      <c r="P161" s="53">
        <v>88</v>
      </c>
      <c r="Q161" s="53">
        <v>91</v>
      </c>
      <c r="R161" s="53">
        <v>93</v>
      </c>
      <c r="S161" s="54">
        <f t="shared" ref="S161:S164" si="198">IF(E161="","",IF(MAXA(P161:R161)&lt;=0,0,MAXA(P161:R161)))</f>
        <v>93</v>
      </c>
      <c r="T161" s="55">
        <f t="shared" ref="T161:T164" si="199">IF(E161="","",IF(OR(O161=0,S161=0),0,O161+S161))</f>
        <v>163</v>
      </c>
      <c r="U161" s="56" t="str">
        <f t="shared" ref="U161:U164" si="200">+CONCATENATE(AN161," ",AO161)</f>
        <v>FED + 13</v>
      </c>
      <c r="V161" s="86" t="str">
        <f>IF(E161=0," ",IF(E161="H",IF(OR(E161="SEN",H161&lt;1998),VLOOKUP(K161,Minimas!$A$11:$G$29,6),IF(AND(H161&gt;1997,H161&lt;2001),VLOOKUP(K161,Minimas!$A$11:$G$29,5),IF(AND(H161&gt;2000,H161&lt;2003),VLOOKUP(K161,Minimas!$A$11:$G$29,4),IF(AND(H161&gt;2002,H161&lt;2005),VLOOKUP(K161,Minimas!$A$11:$G$29,3),VLOOKUP(K161,Minimas!$A$11:$G$29,2))))),IF(OR(H161="SEN",H161&lt;1998),VLOOKUP(K161,Minimas!$G$11:$L$26,6),IF(AND(H161&gt;1997,H161&lt;2001),VLOOKUP(K161,Minimas!$G$11:$L$26,5),IF(AND(H161&gt;2000,H161&lt;2003),VLOOKUP(K161,Minimas!$G$11:$L$26,4),IF(AND(H161&gt;2002,H161&lt;2005),VLOOKUP(K161,Minimas!$G$11:$L$26,3),VLOOKUP(K161,Minimas!$G$11:$L$26,2)))))))</f>
        <v>FS 90</v>
      </c>
      <c r="W161" s="62">
        <f t="shared" ref="W161:W164" si="201">IF(E161=" "," ",IF(E161="H",10^(0.75194503*LOG(K161/175.508)^2)*T161,IF(E161="F",10^(0.783497476* LOG(K161/153.655)^2)*T161,"")))</f>
        <v>183.82362766296467</v>
      </c>
      <c r="X161" s="63"/>
      <c r="Y161" s="157" t="s">
        <v>131</v>
      </c>
      <c r="AC161" s="90">
        <f>T161-HLOOKUP(V161,Minimas!$C$1:$BN$10,2,FALSE)</f>
        <v>68</v>
      </c>
      <c r="AD161" s="90">
        <f>T161-HLOOKUP(V161,Minimas!$C$1:$BN$10,3,FALSE)</f>
        <v>58</v>
      </c>
      <c r="AE161" s="90">
        <f>T161-HLOOKUP(V161,Minimas!$C$1:$BN$10,4,FALSE)</f>
        <v>43</v>
      </c>
      <c r="AF161" s="90">
        <f>T161-HLOOKUP(V161,Minimas!$C$1:$BN$10,5,FALSE)</f>
        <v>28</v>
      </c>
      <c r="AG161" s="90">
        <f>T161-HLOOKUP(V161,Minimas!$C$1:$BN$10,6,FALSE)</f>
        <v>13</v>
      </c>
      <c r="AH161" s="90">
        <f>T161-HLOOKUP(V161,Minimas!$C$1:$BN$10,7,FALSE)</f>
        <v>-7</v>
      </c>
      <c r="AI161" s="90">
        <f>T161-HLOOKUP(V161,Minimas!$C$1:$BN$10,8,FALSE)</f>
        <v>-27</v>
      </c>
      <c r="AJ161" s="90">
        <f>T161-HLOOKUP(V161,Minimas!$C$1:$BN$10,9,FALSE)</f>
        <v>-47</v>
      </c>
      <c r="AK161" s="90">
        <f>T161-HLOOKUP(V161,Minimas!$C$1:$BN$10,10,FALSE)</f>
        <v>-62</v>
      </c>
      <c r="AL161" s="91" t="str">
        <f t="shared" ref="AL161:AL164" si="202">IF(E161=0," ",IF(AK161&gt;=0,$AK$7,IF(AJ161&gt;=0,$AJ$7,IF(AI161&gt;=0,$AI$7,IF(AH161&gt;=0,$AH$7,IF(AG161&gt;=0,$AG$7,IF(AF161&gt;=0,$AF$7,IF(AE161&gt;=0,$AE$7,IF(AD161&gt;=0,$AD$7,$AC$7)))))))))</f>
        <v>FED +</v>
      </c>
      <c r="AN161" s="5" t="str">
        <f t="shared" ref="AN161:AN164" si="203">IF(AL161="","",AL161)</f>
        <v>FED +</v>
      </c>
      <c r="AO161" s="5">
        <f t="shared" ref="AO161:AO164" si="204">IF(E161=0," ",IF(AK161&gt;=0,AK161,IF(AJ161&gt;=0,AJ161,IF(AI161&gt;=0,AI161,IF(AH161&gt;=0,AH161,IF(AG161&gt;=0,AG161,IF(AF161&gt;=0,AF161,IF(AE161&gt;=0,AE161,IF(AD161&gt;=0,AD161,AC161)))))))))</f>
        <v>13</v>
      </c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</row>
    <row r="162" spans="1:77" s="5" customFormat="1" ht="27.95" customHeight="1" x14ac:dyDescent="0.2">
      <c r="B162" s="148" t="s">
        <v>134</v>
      </c>
      <c r="C162" s="161">
        <v>418904</v>
      </c>
      <c r="D162" s="92">
        <v>2</v>
      </c>
      <c r="E162" s="84" t="s">
        <v>108</v>
      </c>
      <c r="F162" s="36" t="s">
        <v>220</v>
      </c>
      <c r="G162" s="37" t="s">
        <v>185</v>
      </c>
      <c r="H162" s="92">
        <v>1986</v>
      </c>
      <c r="I162" s="192" t="s">
        <v>626</v>
      </c>
      <c r="J162" s="35" t="s">
        <v>108</v>
      </c>
      <c r="K162" s="103">
        <v>82.1</v>
      </c>
      <c r="L162" s="38">
        <v>69</v>
      </c>
      <c r="M162" s="39">
        <v>72</v>
      </c>
      <c r="N162" s="39">
        <v>-75</v>
      </c>
      <c r="O162" s="54">
        <f t="shared" si="197"/>
        <v>72</v>
      </c>
      <c r="P162" s="53">
        <v>83</v>
      </c>
      <c r="Q162" s="53">
        <v>-86</v>
      </c>
      <c r="R162" s="53">
        <v>86</v>
      </c>
      <c r="S162" s="54">
        <f t="shared" si="198"/>
        <v>86</v>
      </c>
      <c r="T162" s="55">
        <f t="shared" si="199"/>
        <v>158</v>
      </c>
      <c r="U162" s="56" t="str">
        <f t="shared" si="200"/>
        <v>FED + 8</v>
      </c>
      <c r="V162" s="86" t="str">
        <f>IF(E162=0," ",IF(E162="H",IF(OR(E162="SEN",H162&lt;1998),VLOOKUP(K162,Minimas!$A$11:$G$29,6),IF(AND(H162&gt;1997,H162&lt;2001),VLOOKUP(K162,Minimas!$A$11:$G$29,5),IF(AND(H162&gt;2000,H162&lt;2003),VLOOKUP(K162,Minimas!$A$11:$G$29,4),IF(AND(H162&gt;2002,H162&lt;2005),VLOOKUP(K162,Minimas!$A$11:$G$29,3),VLOOKUP(K162,Minimas!$A$11:$G$29,2))))),IF(OR(H162="SEN",H162&lt;1998),VLOOKUP(K162,Minimas!$G$11:$L$26,6),IF(AND(H162&gt;1997,H162&lt;2001),VLOOKUP(K162,Minimas!$G$11:$L$26,5),IF(AND(H162&gt;2000,H162&lt;2003),VLOOKUP(K162,Minimas!$G$11:$L$26,4),IF(AND(H162&gt;2002,H162&lt;2005),VLOOKUP(K162,Minimas!$G$11:$L$26,3),VLOOKUP(K162,Minimas!$G$11:$L$26,2)))))))</f>
        <v>FS 90</v>
      </c>
      <c r="W162" s="62">
        <f t="shared" si="201"/>
        <v>180.59684124758436</v>
      </c>
      <c r="X162" s="63"/>
      <c r="Y162" s="157" t="s">
        <v>131</v>
      </c>
      <c r="AC162" s="90">
        <f>T162-HLOOKUP(V162,Minimas!$C$1:$BN$10,2,FALSE)</f>
        <v>63</v>
      </c>
      <c r="AD162" s="90">
        <f>T162-HLOOKUP(V162,Minimas!$C$1:$BN$10,3,FALSE)</f>
        <v>53</v>
      </c>
      <c r="AE162" s="90">
        <f>T162-HLOOKUP(V162,Minimas!$C$1:$BN$10,4,FALSE)</f>
        <v>38</v>
      </c>
      <c r="AF162" s="90">
        <f>T162-HLOOKUP(V162,Minimas!$C$1:$BN$10,5,FALSE)</f>
        <v>23</v>
      </c>
      <c r="AG162" s="90">
        <f>T162-HLOOKUP(V162,Minimas!$C$1:$BN$10,6,FALSE)</f>
        <v>8</v>
      </c>
      <c r="AH162" s="90">
        <f>T162-HLOOKUP(V162,Minimas!$C$1:$BN$10,7,FALSE)</f>
        <v>-12</v>
      </c>
      <c r="AI162" s="90">
        <f>T162-HLOOKUP(V162,Minimas!$C$1:$BN$10,8,FALSE)</f>
        <v>-32</v>
      </c>
      <c r="AJ162" s="90">
        <f>T162-HLOOKUP(V162,Minimas!$C$1:$BN$10,9,FALSE)</f>
        <v>-52</v>
      </c>
      <c r="AK162" s="90">
        <f>T162-HLOOKUP(V162,Minimas!$C$1:$BN$10,10,FALSE)</f>
        <v>-67</v>
      </c>
      <c r="AL162" s="91" t="str">
        <f t="shared" si="202"/>
        <v>FED +</v>
      </c>
      <c r="AN162" s="5" t="str">
        <f t="shared" si="203"/>
        <v>FED +</v>
      </c>
      <c r="AO162" s="5">
        <f t="shared" si="204"/>
        <v>8</v>
      </c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  <c r="BY162" s="97"/>
    </row>
    <row r="163" spans="1:77" s="5" customFormat="1" ht="27.95" customHeight="1" x14ac:dyDescent="0.2">
      <c r="B163" s="148" t="s">
        <v>189</v>
      </c>
      <c r="C163" s="161">
        <v>430480</v>
      </c>
      <c r="D163" s="92">
        <v>3</v>
      </c>
      <c r="E163" s="84" t="s">
        <v>108</v>
      </c>
      <c r="F163" s="36" t="s">
        <v>378</v>
      </c>
      <c r="G163" s="37" t="s">
        <v>379</v>
      </c>
      <c r="H163" s="92">
        <v>1986</v>
      </c>
      <c r="I163" s="192" t="s">
        <v>627</v>
      </c>
      <c r="J163" s="35" t="s">
        <v>108</v>
      </c>
      <c r="K163" s="103">
        <v>80.650000000000006</v>
      </c>
      <c r="L163" s="38">
        <v>65</v>
      </c>
      <c r="M163" s="39">
        <v>70</v>
      </c>
      <c r="N163" s="39">
        <v>73</v>
      </c>
      <c r="O163" s="54">
        <f t="shared" ref="O163" si="205">IF(E163="","",IF(MAXA(L163:N163)&lt;=0,0,MAXA(L163:N163)))</f>
        <v>73</v>
      </c>
      <c r="P163" s="53">
        <v>80</v>
      </c>
      <c r="Q163" s="53">
        <v>-85</v>
      </c>
      <c r="R163" s="53">
        <v>-86</v>
      </c>
      <c r="S163" s="54">
        <f t="shared" ref="S163" si="206">IF(E163="","",IF(MAXA(P163:R163)&lt;=0,0,MAXA(P163:R163)))</f>
        <v>80</v>
      </c>
      <c r="T163" s="55">
        <f t="shared" ref="T163" si="207">IF(E163="","",IF(OR(O163=0,S163=0),0,O163+S163))</f>
        <v>153</v>
      </c>
      <c r="U163" s="56" t="str">
        <f t="shared" ref="U163" si="208">+CONCATENATE(AN163," ",AO163)</f>
        <v>FED + 3</v>
      </c>
      <c r="V163" s="86" t="str">
        <f>IF(E163=0," ",IF(E163="H",IF(OR(E163="SEN",H163&lt;1998),VLOOKUP(K163,Minimas!$A$11:$G$29,6),IF(AND(H163&gt;1997,H163&lt;2001),VLOOKUP(K163,Minimas!$A$11:$G$29,5),IF(AND(H163&gt;2000,H163&lt;2003),VLOOKUP(K163,Minimas!$A$11:$G$29,4),IF(AND(H163&gt;2002,H163&lt;2005),VLOOKUP(K163,Minimas!$A$11:$G$29,3),VLOOKUP(K163,Minimas!$A$11:$G$29,2))))),IF(OR(H163="SEN",H163&lt;1998),VLOOKUP(K163,Minimas!$G$11:$L$26,6),IF(AND(H163&gt;1997,H163&lt;2001),VLOOKUP(K163,Minimas!$G$11:$L$26,5),IF(AND(H163&gt;2000,H163&lt;2003),VLOOKUP(K163,Minimas!$G$11:$L$26,4),IF(AND(H163&gt;2002,H163&lt;2005),VLOOKUP(K163,Minimas!$G$11:$L$26,3),VLOOKUP(K163,Minimas!$G$11:$L$26,2)))))))</f>
        <v>FS 90</v>
      </c>
      <c r="W163" s="62">
        <f t="shared" ref="W163" si="209">IF(E163=" "," ",IF(E163="H",10^(0.75194503*LOG(K163/175.508)^2)*T163,IF(E163="F",10^(0.783497476* LOG(K163/153.655)^2)*T163,"")))</f>
        <v>176.23506792312867</v>
      </c>
      <c r="X163" s="63"/>
      <c r="Y163" s="155" t="s">
        <v>441</v>
      </c>
      <c r="AC163" s="90">
        <f>T163-HLOOKUP(V163,Minimas!$C$1:$BN$10,2,FALSE)</f>
        <v>58</v>
      </c>
      <c r="AD163" s="90">
        <f>T163-HLOOKUP(V163,Minimas!$C$1:$BN$10,3,FALSE)</f>
        <v>48</v>
      </c>
      <c r="AE163" s="90">
        <f>T163-HLOOKUP(V163,Minimas!$C$1:$BN$10,4,FALSE)</f>
        <v>33</v>
      </c>
      <c r="AF163" s="90">
        <f>T163-HLOOKUP(V163,Minimas!$C$1:$BN$10,5,FALSE)</f>
        <v>18</v>
      </c>
      <c r="AG163" s="90">
        <f>T163-HLOOKUP(V163,Minimas!$C$1:$BN$10,6,FALSE)</f>
        <v>3</v>
      </c>
      <c r="AH163" s="90">
        <f>T163-HLOOKUP(V163,Minimas!$C$1:$BN$10,7,FALSE)</f>
        <v>-17</v>
      </c>
      <c r="AI163" s="90">
        <f>T163-HLOOKUP(V163,Minimas!$C$1:$BN$10,8,FALSE)</f>
        <v>-37</v>
      </c>
      <c r="AJ163" s="90">
        <f>T163-HLOOKUP(V163,Minimas!$C$1:$BN$10,9,FALSE)</f>
        <v>-57</v>
      </c>
      <c r="AK163" s="90">
        <f>T163-HLOOKUP(V163,Minimas!$C$1:$BN$10,10,FALSE)</f>
        <v>-72</v>
      </c>
      <c r="AL163" s="91" t="str">
        <f t="shared" ref="AL163" si="210">IF(E163=0," ",IF(AK163&gt;=0,$AK$7,IF(AJ163&gt;=0,$AJ$7,IF(AI163&gt;=0,$AI$7,IF(AH163&gt;=0,$AH$7,IF(AG163&gt;=0,$AG$7,IF(AF163&gt;=0,$AF$7,IF(AE163&gt;=0,$AE$7,IF(AD163&gt;=0,$AD$7,$AC$7)))))))))</f>
        <v>FED +</v>
      </c>
      <c r="AN163" s="5" t="str">
        <f t="shared" ref="AN163" si="211">IF(AL163="","",AL163)</f>
        <v>FED +</v>
      </c>
      <c r="AO163" s="5">
        <f t="shared" ref="AO163" si="212">IF(E163=0," ",IF(AK163&gt;=0,AK163,IF(AJ163&gt;=0,AJ163,IF(AI163&gt;=0,AI163,IF(AH163&gt;=0,AH163,IF(AG163&gt;=0,AG163,IF(AF163&gt;=0,AF163,IF(AE163&gt;=0,AE163,IF(AD163&gt;=0,AD163,AC163)))))))))</f>
        <v>3</v>
      </c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7"/>
      <c r="BC163" s="97"/>
      <c r="BD163" s="97"/>
      <c r="BE163" s="97"/>
      <c r="BF163" s="97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7"/>
      <c r="BS163" s="97"/>
      <c r="BT163" s="97"/>
      <c r="BU163" s="97"/>
      <c r="BV163" s="97"/>
      <c r="BW163" s="97"/>
      <c r="BX163" s="97"/>
      <c r="BY163" s="97"/>
    </row>
    <row r="164" spans="1:77" s="5" customFormat="1" ht="27.95" customHeight="1" x14ac:dyDescent="0.2">
      <c r="B164" s="148" t="s">
        <v>124</v>
      </c>
      <c r="C164" s="161">
        <v>45169</v>
      </c>
      <c r="D164" s="92">
        <v>4</v>
      </c>
      <c r="E164" s="84" t="s">
        <v>108</v>
      </c>
      <c r="F164" s="36" t="s">
        <v>221</v>
      </c>
      <c r="G164" s="37" t="s">
        <v>659</v>
      </c>
      <c r="H164" s="92">
        <v>1983</v>
      </c>
      <c r="I164" s="192" t="s">
        <v>628</v>
      </c>
      <c r="J164" s="35" t="s">
        <v>108</v>
      </c>
      <c r="K164" s="103">
        <v>83.9</v>
      </c>
      <c r="L164" s="38">
        <v>-62</v>
      </c>
      <c r="M164" s="39">
        <v>62</v>
      </c>
      <c r="N164" s="39">
        <v>67</v>
      </c>
      <c r="O164" s="54">
        <f t="shared" si="197"/>
        <v>67</v>
      </c>
      <c r="P164" s="53">
        <v>-78</v>
      </c>
      <c r="Q164" s="53">
        <v>78</v>
      </c>
      <c r="R164" s="53">
        <v>83</v>
      </c>
      <c r="S164" s="54">
        <f t="shared" si="198"/>
        <v>83</v>
      </c>
      <c r="T164" s="55">
        <f t="shared" si="199"/>
        <v>150</v>
      </c>
      <c r="U164" s="56" t="str">
        <f t="shared" si="200"/>
        <v>FED + 0</v>
      </c>
      <c r="V164" s="86" t="str">
        <f>IF(E164=0," ",IF(E164="H",IF(OR(E164="SEN",H164&lt;1998),VLOOKUP(K164,Minimas!$A$11:$G$29,6),IF(AND(H164&gt;1997,H164&lt;2001),VLOOKUP(K164,Minimas!$A$11:$G$29,5),IF(AND(H164&gt;2000,H164&lt;2003),VLOOKUP(K164,Minimas!$A$11:$G$29,4),IF(AND(H164&gt;2002,H164&lt;2005),VLOOKUP(K164,Minimas!$A$11:$G$29,3),VLOOKUP(K164,Minimas!$A$11:$G$29,2))))),IF(OR(H164="SEN",H164&lt;1998),VLOOKUP(K164,Minimas!$G$11:$L$26,6),IF(AND(H164&gt;1997,H164&lt;2001),VLOOKUP(K164,Minimas!$G$11:$L$26,5),IF(AND(H164&gt;2000,H164&lt;2003),VLOOKUP(K164,Minimas!$G$11:$L$26,4),IF(AND(H164&gt;2002,H164&lt;2005),VLOOKUP(K164,Minimas!$G$11:$L$26,3),VLOOKUP(K164,Minimas!$G$11:$L$26,2)))))))</f>
        <v>FS 90</v>
      </c>
      <c r="W164" s="62">
        <f t="shared" si="201"/>
        <v>169.90114974112288</v>
      </c>
      <c r="X164" s="63"/>
      <c r="Y164" s="157" t="s">
        <v>131</v>
      </c>
      <c r="AC164" s="90">
        <f>T164-HLOOKUP(V164,Minimas!$C$1:$BN$10,2,FALSE)</f>
        <v>55</v>
      </c>
      <c r="AD164" s="90">
        <f>T164-HLOOKUP(V164,Minimas!$C$1:$BN$10,3,FALSE)</f>
        <v>45</v>
      </c>
      <c r="AE164" s="90">
        <f>T164-HLOOKUP(V164,Minimas!$C$1:$BN$10,4,FALSE)</f>
        <v>30</v>
      </c>
      <c r="AF164" s="90">
        <f>T164-HLOOKUP(V164,Minimas!$C$1:$BN$10,5,FALSE)</f>
        <v>15</v>
      </c>
      <c r="AG164" s="90">
        <f>T164-HLOOKUP(V164,Minimas!$C$1:$BN$10,6,FALSE)</f>
        <v>0</v>
      </c>
      <c r="AH164" s="90">
        <f>T164-HLOOKUP(V164,Minimas!$C$1:$BN$10,7,FALSE)</f>
        <v>-20</v>
      </c>
      <c r="AI164" s="90">
        <f>T164-HLOOKUP(V164,Minimas!$C$1:$BN$10,8,FALSE)</f>
        <v>-40</v>
      </c>
      <c r="AJ164" s="90">
        <f>T164-HLOOKUP(V164,Minimas!$C$1:$BN$10,9,FALSE)</f>
        <v>-60</v>
      </c>
      <c r="AK164" s="90">
        <f>T164-HLOOKUP(V164,Minimas!$C$1:$BN$10,10,FALSE)</f>
        <v>-75</v>
      </c>
      <c r="AL164" s="91" t="str">
        <f t="shared" si="202"/>
        <v>FED +</v>
      </c>
      <c r="AN164" s="5" t="str">
        <f t="shared" si="203"/>
        <v>FED +</v>
      </c>
      <c r="AO164" s="5">
        <f t="shared" si="204"/>
        <v>0</v>
      </c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</row>
    <row r="165" spans="1:77" s="5" customFormat="1" ht="27.95" customHeight="1" thickBot="1" x14ac:dyDescent="0.25">
      <c r="B165" s="148" t="s">
        <v>120</v>
      </c>
      <c r="C165" s="161">
        <v>410449</v>
      </c>
      <c r="D165" s="92">
        <v>5</v>
      </c>
      <c r="E165" s="84" t="s">
        <v>108</v>
      </c>
      <c r="F165" s="36" t="s">
        <v>478</v>
      </c>
      <c r="G165" s="37" t="s">
        <v>329</v>
      </c>
      <c r="H165" s="92">
        <v>1997</v>
      </c>
      <c r="I165" s="192" t="s">
        <v>332</v>
      </c>
      <c r="J165" s="35" t="s">
        <v>108</v>
      </c>
      <c r="K165" s="103">
        <v>84</v>
      </c>
      <c r="L165" s="38">
        <v>-68</v>
      </c>
      <c r="M165" s="39">
        <v>68</v>
      </c>
      <c r="N165" s="39">
        <v>-70</v>
      </c>
      <c r="O165" s="54">
        <f t="shared" ref="O165" si="213">IF(E165="","",IF(MAXA(L165:N165)&lt;=0,0,MAXA(L165:N165)))</f>
        <v>68</v>
      </c>
      <c r="P165" s="53">
        <v>82</v>
      </c>
      <c r="Q165" s="53">
        <v>-84</v>
      </c>
      <c r="R165" s="53" t="s">
        <v>126</v>
      </c>
      <c r="S165" s="54">
        <f t="shared" ref="S165" si="214">IF(E165="","",IF(MAXA(P165:R165)&lt;=0,0,MAXA(P165:R165)))</f>
        <v>82</v>
      </c>
      <c r="T165" s="55">
        <f t="shared" ref="T165" si="215">IF(E165="","",IF(OR(O165=0,S165=0),0,O165+S165))</f>
        <v>150</v>
      </c>
      <c r="U165" s="56" t="str">
        <f t="shared" ref="U165" si="216">+CONCATENATE(AN165," ",AO165)</f>
        <v>FED + 0</v>
      </c>
      <c r="V165" s="86" t="str">
        <f>IF(E165=0," ",IF(E165="H",IF(OR(E165="SEN",H165&lt;1998),VLOOKUP(K165,Minimas!$A$11:$G$29,6),IF(AND(H165&gt;1997,H165&lt;2001),VLOOKUP(K165,Minimas!$A$11:$G$29,5),IF(AND(H165&gt;2000,H165&lt;2003),VLOOKUP(K165,Minimas!$A$11:$G$29,4),IF(AND(H165&gt;2002,H165&lt;2005),VLOOKUP(K165,Minimas!$A$11:$G$29,3),VLOOKUP(K165,Minimas!$A$11:$G$29,2))))),IF(OR(H165="SEN",H165&lt;1998),VLOOKUP(K165,Minimas!$G$11:$L$26,6),IF(AND(H165&gt;1997,H165&lt;2001),VLOOKUP(K165,Minimas!$G$11:$L$26,5),IF(AND(H165&gt;2000,H165&lt;2003),VLOOKUP(K165,Minimas!$G$11:$L$26,4),IF(AND(H165&gt;2002,H165&lt;2005),VLOOKUP(K165,Minimas!$G$11:$L$26,3),VLOOKUP(K165,Minimas!$G$11:$L$26,2)))))))</f>
        <v>FS 90</v>
      </c>
      <c r="W165" s="62">
        <f t="shared" ref="W165" si="217">IF(E165=" "," ",IF(E165="H",10^(0.75194503*LOG(K165/175.508)^2)*T165,IF(E165="F",10^(0.783497476* LOG(K165/153.655)^2)*T165,"")))</f>
        <v>169.81791410448727</v>
      </c>
      <c r="X165" s="63"/>
      <c r="Y165" s="155" t="s">
        <v>441</v>
      </c>
      <c r="AC165" s="90">
        <f>T165-HLOOKUP(V165,Minimas!$C$1:$BN$10,2,FALSE)</f>
        <v>55</v>
      </c>
      <c r="AD165" s="90">
        <f>T165-HLOOKUP(V165,Minimas!$C$1:$BN$10,3,FALSE)</f>
        <v>45</v>
      </c>
      <c r="AE165" s="90">
        <f>T165-HLOOKUP(V165,Minimas!$C$1:$BN$10,4,FALSE)</f>
        <v>30</v>
      </c>
      <c r="AF165" s="90">
        <f>T165-HLOOKUP(V165,Minimas!$C$1:$BN$10,5,FALSE)</f>
        <v>15</v>
      </c>
      <c r="AG165" s="90">
        <f>T165-HLOOKUP(V165,Minimas!$C$1:$BN$10,6,FALSE)</f>
        <v>0</v>
      </c>
      <c r="AH165" s="90">
        <f>T165-HLOOKUP(V165,Minimas!$C$1:$BN$10,7,FALSE)</f>
        <v>-20</v>
      </c>
      <c r="AI165" s="90">
        <f>T165-HLOOKUP(V165,Minimas!$C$1:$BN$10,8,FALSE)</f>
        <v>-40</v>
      </c>
      <c r="AJ165" s="90">
        <f>T165-HLOOKUP(V165,Minimas!$C$1:$BN$10,9,FALSE)</f>
        <v>-60</v>
      </c>
      <c r="AK165" s="90">
        <f>T165-HLOOKUP(V165,Minimas!$C$1:$BN$10,10,FALSE)</f>
        <v>-75</v>
      </c>
      <c r="AL165" s="91" t="str">
        <f t="shared" ref="AL165" si="218">IF(E165=0," ",IF(AK165&gt;=0,$AK$7,IF(AJ165&gt;=0,$AJ$7,IF(AI165&gt;=0,$AI$7,IF(AH165&gt;=0,$AH$7,IF(AG165&gt;=0,$AG$7,IF(AF165&gt;=0,$AF$7,IF(AE165&gt;=0,$AE$7,IF(AD165&gt;=0,$AD$7,$AC$7)))))))))</f>
        <v>FED +</v>
      </c>
      <c r="AN165" s="5" t="str">
        <f t="shared" ref="AN165" si="219">IF(AL165="","",AL165)</f>
        <v>FED +</v>
      </c>
      <c r="AO165" s="5">
        <f t="shared" ref="AO165" si="220">IF(E165=0," ",IF(AK165&gt;=0,AK165,IF(AJ165&gt;=0,AJ165,IF(AI165&gt;=0,AI165,IF(AH165&gt;=0,AH165,IF(AG165&gt;=0,AG165,IF(AF165&gt;=0,AF165,IF(AE165&gt;=0,AE165,IF(AD165&gt;=0,AD165,AC165)))))))))</f>
        <v>0</v>
      </c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  <c r="BW165" s="97"/>
      <c r="BX165" s="97"/>
      <c r="BY165" s="97"/>
    </row>
    <row r="166" spans="1:77" s="16" customFormat="1" ht="10.15" customHeight="1" x14ac:dyDescent="0.2">
      <c r="B166" s="151"/>
      <c r="C166" s="151"/>
      <c r="D166" s="98"/>
      <c r="E166" s="98"/>
      <c r="F166" s="98"/>
      <c r="G166" s="98"/>
      <c r="H166" s="98"/>
      <c r="I166" s="208"/>
      <c r="J166" s="98"/>
      <c r="K166" s="104"/>
      <c r="L166" s="98"/>
      <c r="M166" s="98"/>
      <c r="N166" s="98"/>
      <c r="O166" s="98"/>
      <c r="P166" s="99"/>
      <c r="Q166" s="98"/>
      <c r="R166" s="98"/>
      <c r="S166" s="98"/>
      <c r="T166" s="98"/>
      <c r="U166" s="98"/>
      <c r="V166" s="98"/>
      <c r="W166" s="98"/>
      <c r="X166" s="15"/>
      <c r="Y166" s="151"/>
    </row>
    <row r="167" spans="1:77" ht="27" customHeight="1" x14ac:dyDescent="0.2">
      <c r="A167" s="6"/>
      <c r="B167" s="224" t="s">
        <v>438</v>
      </c>
      <c r="C167" s="225"/>
      <c r="D167" s="225"/>
      <c r="E167" s="225"/>
      <c r="F167" s="225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6"/>
    </row>
    <row r="168" spans="1:77" ht="27" customHeight="1" x14ac:dyDescent="0.2">
      <c r="A168" s="6"/>
      <c r="B168" s="221" t="s">
        <v>439</v>
      </c>
      <c r="C168" s="222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3"/>
    </row>
  </sheetData>
  <sortState ref="A135:DT142">
    <sortCondition descending="1" ref="T135:T142"/>
  </sortState>
  <mergeCells count="17">
    <mergeCell ref="B168:W168"/>
    <mergeCell ref="B167:W167"/>
    <mergeCell ref="B28:Y28"/>
    <mergeCell ref="B47:Y47"/>
    <mergeCell ref="B71:Y71"/>
    <mergeCell ref="F49:G49"/>
    <mergeCell ref="F73:G73"/>
    <mergeCell ref="B99:Y99"/>
    <mergeCell ref="Y2:Y3"/>
    <mergeCell ref="F30:G30"/>
    <mergeCell ref="F7:G7"/>
    <mergeCell ref="D2:K2"/>
    <mergeCell ref="N2:S3"/>
    <mergeCell ref="V2:W2"/>
    <mergeCell ref="D3:K3"/>
    <mergeCell ref="V3:W3"/>
    <mergeCell ref="B5:Y5"/>
  </mergeCells>
  <conditionalFormatting sqref="P51:R51 L51:N51 P41:R41 L41:N41 L56:N56 P56:R56 L63:N63 P63:R63 L101:N108 P101:R108 L146:N148 P146:R148 P159:R159 L159:N159 P77:R79 L77:N79 L45:N45 P45:R45 P59:R59 L59:N59 L68:N69 P68:R69 L90:N96 P90:R96 L126:N136 P126:R136 L138:N141 P138:R141 P150:R151 L150:N151 L154:N156 P154:R156 L164:N164 P164:R164 L9:N9 P9:R9 P143:R144 L143:N144 L161:N162 P161:R162 P88:R88 P84:R86 L88:N88 L84:N86">
    <cfRule type="cellIs" dxfId="97" priority="86" operator="lessThan">
      <formula>0</formula>
    </cfRule>
  </conditionalFormatting>
  <conditionalFormatting sqref="P57:R57 L57:N57">
    <cfRule type="cellIs" dxfId="96" priority="75" operator="lessThan">
      <formula>0</formula>
    </cfRule>
  </conditionalFormatting>
  <conditionalFormatting sqref="P39:R39 L39:N39">
    <cfRule type="cellIs" dxfId="95" priority="69" operator="lessThan">
      <formula>0</formula>
    </cfRule>
  </conditionalFormatting>
  <conditionalFormatting sqref="L11:N11 P11:R11">
    <cfRule type="cellIs" dxfId="94" priority="65" operator="lessThan">
      <formula>0</formula>
    </cfRule>
  </conditionalFormatting>
  <conditionalFormatting sqref="L26:N26 P26:R26">
    <cfRule type="cellIs" dxfId="93" priority="64" operator="lessThan">
      <formula>0</formula>
    </cfRule>
  </conditionalFormatting>
  <conditionalFormatting sqref="L14:N14 P14:R14">
    <cfRule type="cellIs" dxfId="92" priority="61" operator="lessThan">
      <formula>0</formula>
    </cfRule>
  </conditionalFormatting>
  <conditionalFormatting sqref="L19:N19 P19:R19">
    <cfRule type="cellIs" dxfId="91" priority="60" operator="lessThan">
      <formula>0</formula>
    </cfRule>
  </conditionalFormatting>
  <conditionalFormatting sqref="P83:R83 L83:N83">
    <cfRule type="cellIs" dxfId="90" priority="58" operator="lessThan">
      <formula>0</formula>
    </cfRule>
  </conditionalFormatting>
  <conditionalFormatting sqref="P120:R120 L120:N120 L122:N125 P122:R125">
    <cfRule type="cellIs" dxfId="89" priority="56" operator="lessThan">
      <formula>0</formula>
    </cfRule>
  </conditionalFormatting>
  <conditionalFormatting sqref="P81:R82 L81:N82">
    <cfRule type="cellIs" dxfId="88" priority="53" operator="lessThan">
      <formula>0</formula>
    </cfRule>
  </conditionalFormatting>
  <conditionalFormatting sqref="P145:R145 L145:N145">
    <cfRule type="cellIs" dxfId="87" priority="52" operator="lessThan">
      <formula>0</formula>
    </cfRule>
  </conditionalFormatting>
  <conditionalFormatting sqref="L15:N16 P15:R16">
    <cfRule type="cellIs" dxfId="86" priority="51" operator="lessThan">
      <formula>0</formula>
    </cfRule>
  </conditionalFormatting>
  <conditionalFormatting sqref="L20:N21 P20:R21">
    <cfRule type="cellIs" dxfId="85" priority="50" operator="lessThan">
      <formula>0</formula>
    </cfRule>
  </conditionalFormatting>
  <conditionalFormatting sqref="L24:N24 P24:R24">
    <cfRule type="cellIs" dxfId="84" priority="49" operator="lessThan">
      <formula>0</formula>
    </cfRule>
  </conditionalFormatting>
  <conditionalFormatting sqref="L34:N34 P34:R34 P37:R37 L37:N37">
    <cfRule type="cellIs" dxfId="83" priority="47" operator="lessThan">
      <formula>0</formula>
    </cfRule>
  </conditionalFormatting>
  <conditionalFormatting sqref="P42:R42 L42:N42">
    <cfRule type="cellIs" dxfId="82" priority="45" operator="lessThan">
      <formula>0</formula>
    </cfRule>
  </conditionalFormatting>
  <conditionalFormatting sqref="P53:R54 L53:N54">
    <cfRule type="cellIs" dxfId="81" priority="43" operator="lessThan">
      <formula>0</formula>
    </cfRule>
  </conditionalFormatting>
  <conditionalFormatting sqref="P58:R58 L58:N58">
    <cfRule type="cellIs" dxfId="80" priority="42" operator="lessThan">
      <formula>0</formula>
    </cfRule>
  </conditionalFormatting>
  <conditionalFormatting sqref="L75:N75 P75:R75">
    <cfRule type="cellIs" dxfId="79" priority="41" operator="lessThan">
      <formula>0</formula>
    </cfRule>
  </conditionalFormatting>
  <conditionalFormatting sqref="L89:N89 P89:R89">
    <cfRule type="cellIs" dxfId="78" priority="40" operator="lessThan">
      <formula>0</formula>
    </cfRule>
  </conditionalFormatting>
  <conditionalFormatting sqref="L114:N114 P114:R114">
    <cfRule type="cellIs" dxfId="77" priority="37" operator="lessThan">
      <formula>0</formula>
    </cfRule>
  </conditionalFormatting>
  <conditionalFormatting sqref="L109:N113 P109:R113">
    <cfRule type="cellIs" dxfId="76" priority="36" operator="lessThan">
      <formula>0</formula>
    </cfRule>
  </conditionalFormatting>
  <conditionalFormatting sqref="L137:N137 P137:R137">
    <cfRule type="cellIs" dxfId="75" priority="35" operator="lessThan">
      <formula>0</formula>
    </cfRule>
  </conditionalFormatting>
  <conditionalFormatting sqref="L152:N152 P152:R152">
    <cfRule type="cellIs" dxfId="74" priority="33" operator="lessThan">
      <formula>0</formula>
    </cfRule>
  </conditionalFormatting>
  <conditionalFormatting sqref="L157:N157 P157:R157">
    <cfRule type="cellIs" dxfId="73" priority="31" operator="lessThan">
      <formula>0</formula>
    </cfRule>
  </conditionalFormatting>
  <conditionalFormatting sqref="L165:N165 P165:R165">
    <cfRule type="cellIs" dxfId="72" priority="30" operator="lessThan">
      <formula>0</formula>
    </cfRule>
  </conditionalFormatting>
  <conditionalFormatting sqref="L76:N76 P76:R76">
    <cfRule type="cellIs" dxfId="71" priority="29" operator="lessThan">
      <formula>0</formula>
    </cfRule>
  </conditionalFormatting>
  <conditionalFormatting sqref="L121:N121 P121:R121">
    <cfRule type="cellIs" dxfId="70" priority="28" operator="lessThan">
      <formula>0</formula>
    </cfRule>
  </conditionalFormatting>
  <conditionalFormatting sqref="L12:N12 P12:R12">
    <cfRule type="cellIs" dxfId="69" priority="27" operator="lessThan">
      <formula>0</formula>
    </cfRule>
  </conditionalFormatting>
  <conditionalFormatting sqref="L18:N18 P18:R18">
    <cfRule type="cellIs" dxfId="68" priority="26" operator="lessThan">
      <formula>0</formula>
    </cfRule>
  </conditionalFormatting>
  <conditionalFormatting sqref="L23:N23 P23:R23">
    <cfRule type="cellIs" dxfId="67" priority="25" operator="lessThan">
      <formula>0</formula>
    </cfRule>
  </conditionalFormatting>
  <conditionalFormatting sqref="L32:N32 P32:R32">
    <cfRule type="cellIs" dxfId="66" priority="23" operator="lessThan">
      <formula>0</formula>
    </cfRule>
  </conditionalFormatting>
  <conditionalFormatting sqref="L36:N36 P36:R36">
    <cfRule type="cellIs" dxfId="65" priority="22" operator="lessThan">
      <formula>0</formula>
    </cfRule>
  </conditionalFormatting>
  <conditionalFormatting sqref="L35:N35 P35:R35">
    <cfRule type="cellIs" dxfId="64" priority="21" operator="lessThan">
      <formula>0</formula>
    </cfRule>
  </conditionalFormatting>
  <conditionalFormatting sqref="L44:N44 P44:R44">
    <cfRule type="cellIs" dxfId="63" priority="20" operator="lessThan">
      <formula>0</formula>
    </cfRule>
  </conditionalFormatting>
  <conditionalFormatting sqref="P52:R52 L52:N52">
    <cfRule type="cellIs" dxfId="62" priority="19" operator="lessThan">
      <formula>0</formula>
    </cfRule>
  </conditionalFormatting>
  <conditionalFormatting sqref="P61:R61 L61:N61">
    <cfRule type="cellIs" dxfId="61" priority="18" operator="lessThan">
      <formula>0</formula>
    </cfRule>
  </conditionalFormatting>
  <conditionalFormatting sqref="P60:R60 L60:N60">
    <cfRule type="cellIs" dxfId="60" priority="16" operator="lessThan">
      <formula>0</formula>
    </cfRule>
  </conditionalFormatting>
  <conditionalFormatting sqref="P64:R65 L64:N65">
    <cfRule type="cellIs" dxfId="59" priority="15" operator="lessThan">
      <formula>0</formula>
    </cfRule>
  </conditionalFormatting>
  <conditionalFormatting sqref="L67:N67 P67:R67">
    <cfRule type="cellIs" dxfId="58" priority="14" operator="lessThan">
      <formula>0</formula>
    </cfRule>
  </conditionalFormatting>
  <conditionalFormatting sqref="L97:N97 P97:R97">
    <cfRule type="cellIs" dxfId="57" priority="13" operator="lessThan">
      <formula>0</formula>
    </cfRule>
  </conditionalFormatting>
  <conditionalFormatting sqref="L118:N118 P118:R118">
    <cfRule type="cellIs" dxfId="56" priority="11" operator="lessThan">
      <formula>0</formula>
    </cfRule>
  </conditionalFormatting>
  <conditionalFormatting sqref="L115:N117 P115:R117">
    <cfRule type="cellIs" dxfId="55" priority="10" operator="lessThan">
      <formula>0</formula>
    </cfRule>
  </conditionalFormatting>
  <conditionalFormatting sqref="P149:R149 L149:N149">
    <cfRule type="cellIs" dxfId="54" priority="8" operator="lessThan">
      <formula>0</formula>
    </cfRule>
  </conditionalFormatting>
  <conditionalFormatting sqref="P158:R158 L158:N158">
    <cfRule type="cellIs" dxfId="53" priority="7" operator="lessThan">
      <formula>0</formula>
    </cfRule>
  </conditionalFormatting>
  <conditionalFormatting sqref="L163:N163 P163:R163">
    <cfRule type="cellIs" dxfId="52" priority="5" operator="lessThan">
      <formula>0</formula>
    </cfRule>
  </conditionalFormatting>
  <conditionalFormatting sqref="P87:R87 L87:N87">
    <cfRule type="cellIs" dxfId="51" priority="1" operator="lessThan">
      <formula>0</formula>
    </cfRule>
  </conditionalFormatting>
  <printOptions horizontalCentered="1"/>
  <pageMargins left="0.19685039370078741" right="0.19685039370078741" top="0.39370078740157483" bottom="0.19685039370078741" header="0" footer="0"/>
  <pageSetup paperSize="9" scale="38" orientation="portrait" horizontalDpi="180" verticalDpi="180" r:id="rId1"/>
  <headerFooter alignWithMargins="0"/>
  <rowBreaks count="1" manualBreakCount="1">
    <brk id="98" max="24" man="1"/>
  </rowBreaks>
  <ignoredErrors>
    <ignoredError sqref="O9:O26 O32:O45 O51:O69 O101:O165 O88:O98 O75:O85 O86:O87" formulaRange="1"/>
    <ignoredError sqref="Z47 Z71 Z5 Z2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S167"/>
  <sheetViews>
    <sheetView view="pageBreakPreview" zoomScale="80" zoomScaleNormal="87" zoomScaleSheetLayoutView="80" workbookViewId="0">
      <selection activeCell="BE21" sqref="BE21"/>
    </sheetView>
  </sheetViews>
  <sheetFormatPr baseColWidth="10" defaultColWidth="11.42578125" defaultRowHeight="12.75" x14ac:dyDescent="0.2"/>
  <cols>
    <col min="1" max="1" width="1.7109375" style="1" customWidth="1"/>
    <col min="2" max="2" width="6.7109375" style="143" bestFit="1" customWidth="1"/>
    <col min="3" max="3" width="8.85546875" style="143" bestFit="1" customWidth="1"/>
    <col min="4" max="4" width="6.7109375" style="1" customWidth="1"/>
    <col min="5" max="5" width="4.7109375" style="1" customWidth="1"/>
    <col min="6" max="6" width="27.28515625" style="1" customWidth="1"/>
    <col min="7" max="7" width="20.7109375" style="1" customWidth="1"/>
    <col min="8" max="8" width="7.85546875" style="1" customWidth="1"/>
    <col min="9" max="9" width="25.7109375" style="3" customWidth="1"/>
    <col min="10" max="10" width="5.7109375" style="2" customWidth="1"/>
    <col min="11" max="11" width="8.7109375" style="3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5" width="18.140625" style="143" customWidth="1"/>
    <col min="26" max="26" width="11.42578125" style="1"/>
    <col min="27" max="42" width="11.42578125" style="1" hidden="1" customWidth="1"/>
    <col min="43" max="51" width="0" style="93" hidden="1" customWidth="1"/>
    <col min="52" max="76" width="11.42578125" style="93"/>
    <col min="77" max="16384" width="11.42578125" style="1"/>
  </cols>
  <sheetData>
    <row r="1" spans="1:123" ht="5.0999999999999996" customHeight="1" thickBot="1" x14ac:dyDescent="0.25"/>
    <row r="2" spans="1:123" s="12" customFormat="1" ht="30" customHeight="1" x14ac:dyDescent="0.2">
      <c r="B2" s="144"/>
      <c r="C2" s="158"/>
      <c r="D2" s="211" t="s">
        <v>111</v>
      </c>
      <c r="E2" s="212"/>
      <c r="F2" s="212"/>
      <c r="G2" s="212"/>
      <c r="H2" s="212"/>
      <c r="I2" s="212"/>
      <c r="J2" s="212"/>
      <c r="K2" s="212"/>
      <c r="L2" s="58"/>
      <c r="M2" s="57"/>
      <c r="N2" s="230" t="s">
        <v>110</v>
      </c>
      <c r="O2" s="230"/>
      <c r="P2" s="230"/>
      <c r="Q2" s="230"/>
      <c r="R2" s="230"/>
      <c r="S2" s="230"/>
      <c r="T2" s="57"/>
      <c r="U2" s="57"/>
      <c r="V2" s="212" t="s">
        <v>14</v>
      </c>
      <c r="W2" s="215"/>
      <c r="X2" s="13"/>
      <c r="Y2" s="209">
        <f>COUNTIF(E8:E500,"H")-4</f>
        <v>117</v>
      </c>
      <c r="Z2" s="13"/>
      <c r="AK2" s="14"/>
      <c r="AL2" s="14"/>
      <c r="AM2" s="14"/>
      <c r="AN2" s="14"/>
      <c r="AO2" s="14"/>
      <c r="AP2" s="1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 x14ac:dyDescent="0.25">
      <c r="B3" s="144"/>
      <c r="C3" s="158"/>
      <c r="D3" s="216" t="s">
        <v>524</v>
      </c>
      <c r="E3" s="217"/>
      <c r="F3" s="217"/>
      <c r="G3" s="217"/>
      <c r="H3" s="217"/>
      <c r="I3" s="217"/>
      <c r="J3" s="217"/>
      <c r="K3" s="217"/>
      <c r="L3" s="60"/>
      <c r="M3" s="59"/>
      <c r="N3" s="231"/>
      <c r="O3" s="231"/>
      <c r="P3" s="231"/>
      <c r="Q3" s="231"/>
      <c r="R3" s="231"/>
      <c r="S3" s="231"/>
      <c r="T3" s="59"/>
      <c r="U3" s="59"/>
      <c r="V3" s="218">
        <v>43184</v>
      </c>
      <c r="W3" s="219"/>
      <c r="X3" s="13"/>
      <c r="Y3" s="209"/>
      <c r="Z3" s="13"/>
      <c r="AK3" s="14"/>
      <c r="AL3" s="14"/>
      <c r="AM3" s="14"/>
      <c r="AN3" s="14"/>
      <c r="AO3" s="14"/>
      <c r="AP3" s="1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18" customHeight="1" x14ac:dyDescent="0.2">
      <c r="A4" s="8"/>
      <c r="B4" s="145"/>
      <c r="C4" s="159"/>
      <c r="D4" s="26"/>
      <c r="E4" s="26"/>
      <c r="F4" s="27"/>
      <c r="G4" s="28"/>
      <c r="H4" s="29"/>
      <c r="I4" s="30"/>
      <c r="J4" s="31"/>
      <c r="K4" s="100"/>
      <c r="L4" s="32"/>
      <c r="M4" s="32"/>
      <c r="N4" s="32"/>
      <c r="O4" s="33"/>
      <c r="P4" s="32"/>
      <c r="Q4" s="32"/>
      <c r="R4" s="32"/>
      <c r="S4" s="33"/>
      <c r="T4" s="33"/>
      <c r="U4" s="34"/>
      <c r="V4" s="27"/>
      <c r="W4" s="27"/>
      <c r="X4" s="7"/>
      <c r="Y4" s="152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0" customFormat="1" ht="27.95" customHeight="1" x14ac:dyDescent="0.2">
      <c r="A5" s="17"/>
      <c r="B5" s="220" t="s">
        <v>130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18"/>
      <c r="AA5" s="18"/>
      <c r="AB5" s="87" t="s">
        <v>107</v>
      </c>
      <c r="AC5" s="87" t="s">
        <v>106</v>
      </c>
      <c r="AD5" s="87" t="s">
        <v>62</v>
      </c>
      <c r="AE5" s="87" t="s">
        <v>63</v>
      </c>
      <c r="AF5" s="87" t="s">
        <v>64</v>
      </c>
      <c r="AG5" s="87" t="s">
        <v>65</v>
      </c>
      <c r="AH5" s="87" t="s">
        <v>66</v>
      </c>
      <c r="AI5" s="87" t="s">
        <v>67</v>
      </c>
      <c r="AJ5" s="87" t="s">
        <v>68</v>
      </c>
      <c r="AK5" s="88"/>
      <c r="AL5" s="19"/>
      <c r="AM5" s="19"/>
      <c r="AN5" s="19"/>
      <c r="AO5" s="19"/>
      <c r="AP5" s="19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11" customFormat="1" ht="5.0999999999999996" customHeight="1" thickBot="1" x14ac:dyDescent="0.25">
      <c r="A6" s="8"/>
      <c r="B6" s="178"/>
      <c r="C6" s="179"/>
      <c r="D6" s="180"/>
      <c r="E6" s="180"/>
      <c r="F6" s="181"/>
      <c r="G6" s="182"/>
      <c r="H6" s="183"/>
      <c r="I6" s="184"/>
      <c r="J6" s="185"/>
      <c r="K6" s="186"/>
      <c r="L6" s="187"/>
      <c r="M6" s="187"/>
      <c r="N6" s="187"/>
      <c r="O6" s="188"/>
      <c r="P6" s="187"/>
      <c r="Q6" s="187"/>
      <c r="R6" s="187"/>
      <c r="S6" s="188"/>
      <c r="T6" s="188"/>
      <c r="U6" s="180"/>
      <c r="V6" s="189"/>
      <c r="W6" s="190"/>
      <c r="X6" s="7"/>
      <c r="Y6" s="191"/>
      <c r="Z6" s="7"/>
      <c r="AA6" s="7"/>
      <c r="AB6" s="89" t="s">
        <v>60</v>
      </c>
      <c r="AC6" s="89" t="s">
        <v>61</v>
      </c>
      <c r="AD6" s="89" t="s">
        <v>62</v>
      </c>
      <c r="AE6" s="89" t="s">
        <v>63</v>
      </c>
      <c r="AF6" s="89" t="s">
        <v>64</v>
      </c>
      <c r="AG6" s="89" t="s">
        <v>65</v>
      </c>
      <c r="AH6" s="89" t="s">
        <v>66</v>
      </c>
      <c r="AI6" s="89" t="s">
        <v>67</v>
      </c>
      <c r="AJ6" s="89" t="s">
        <v>68</v>
      </c>
      <c r="AK6" s="89"/>
      <c r="AL6" s="7"/>
      <c r="AM6" s="7"/>
      <c r="AN6" s="7"/>
      <c r="AO6" s="7"/>
      <c r="AP6" s="7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20" customFormat="1" ht="18" customHeight="1" thickBot="1" x14ac:dyDescent="0.25">
      <c r="A7" s="17"/>
      <c r="B7" s="146" t="s">
        <v>8</v>
      </c>
      <c r="C7" s="153" t="s">
        <v>9</v>
      </c>
      <c r="D7" s="142" t="s">
        <v>6</v>
      </c>
      <c r="E7" s="142" t="s">
        <v>69</v>
      </c>
      <c r="F7" s="210" t="s">
        <v>0</v>
      </c>
      <c r="G7" s="210"/>
      <c r="H7" s="142" t="s">
        <v>11</v>
      </c>
      <c r="I7" s="142" t="s">
        <v>10</v>
      </c>
      <c r="J7" s="64" t="s">
        <v>5</v>
      </c>
      <c r="K7" s="64" t="s">
        <v>1</v>
      </c>
      <c r="L7" s="22">
        <v>1</v>
      </c>
      <c r="M7" s="23">
        <v>2</v>
      </c>
      <c r="N7" s="23">
        <v>3</v>
      </c>
      <c r="O7" s="24" t="s">
        <v>12</v>
      </c>
      <c r="P7" s="22">
        <v>1</v>
      </c>
      <c r="Q7" s="23">
        <v>2</v>
      </c>
      <c r="R7" s="23">
        <v>3</v>
      </c>
      <c r="S7" s="24" t="s">
        <v>13</v>
      </c>
      <c r="T7" s="25" t="s">
        <v>2</v>
      </c>
      <c r="U7" s="64" t="s">
        <v>3</v>
      </c>
      <c r="V7" s="64" t="s">
        <v>7</v>
      </c>
      <c r="W7" s="21" t="s">
        <v>4</v>
      </c>
      <c r="X7" s="61"/>
      <c r="Y7" s="153" t="s">
        <v>313</v>
      </c>
      <c r="Z7" s="18"/>
      <c r="AA7" s="18"/>
      <c r="AB7" s="87" t="s">
        <v>107</v>
      </c>
      <c r="AC7" s="87" t="s">
        <v>106</v>
      </c>
      <c r="AD7" s="87" t="s">
        <v>62</v>
      </c>
      <c r="AE7" s="87" t="s">
        <v>63</v>
      </c>
      <c r="AF7" s="87" t="s">
        <v>64</v>
      </c>
      <c r="AG7" s="87" t="s">
        <v>65</v>
      </c>
      <c r="AH7" s="87" t="s">
        <v>66</v>
      </c>
      <c r="AI7" s="87" t="s">
        <v>67</v>
      </c>
      <c r="AJ7" s="87" t="s">
        <v>68</v>
      </c>
      <c r="AK7" s="88"/>
      <c r="AL7" s="19"/>
      <c r="AM7" s="19"/>
      <c r="AN7" s="19"/>
      <c r="AO7" s="19"/>
      <c r="AP7" s="19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</row>
    <row r="8" spans="1:123" s="11" customFormat="1" ht="5.0999999999999996" customHeight="1" thickBot="1" x14ac:dyDescent="0.25">
      <c r="A8" s="8"/>
      <c r="B8" s="178"/>
      <c r="C8" s="179"/>
      <c r="D8" s="180"/>
      <c r="E8" s="180"/>
      <c r="F8" s="181"/>
      <c r="G8" s="182"/>
      <c r="H8" s="183"/>
      <c r="I8" s="184"/>
      <c r="J8" s="185"/>
      <c r="K8" s="186"/>
      <c r="L8" s="187"/>
      <c r="M8" s="187"/>
      <c r="N8" s="187"/>
      <c r="O8" s="188"/>
      <c r="P8" s="187"/>
      <c r="Q8" s="187"/>
      <c r="R8" s="187"/>
      <c r="S8" s="188"/>
      <c r="T8" s="188"/>
      <c r="U8" s="180"/>
      <c r="V8" s="189"/>
      <c r="W8" s="190"/>
      <c r="X8" s="7"/>
      <c r="Y8" s="191"/>
      <c r="Z8" s="7"/>
      <c r="AA8" s="7"/>
      <c r="AB8" s="89" t="s">
        <v>60</v>
      </c>
      <c r="AC8" s="89" t="s">
        <v>61</v>
      </c>
      <c r="AD8" s="89" t="s">
        <v>62</v>
      </c>
      <c r="AE8" s="89" t="s">
        <v>63</v>
      </c>
      <c r="AF8" s="89" t="s">
        <v>64</v>
      </c>
      <c r="AG8" s="89" t="s">
        <v>65</v>
      </c>
      <c r="AH8" s="89" t="s">
        <v>66</v>
      </c>
      <c r="AI8" s="89" t="s">
        <v>67</v>
      </c>
      <c r="AJ8" s="89" t="s">
        <v>68</v>
      </c>
      <c r="AK8" s="89"/>
      <c r="AL8" s="7"/>
      <c r="AM8" s="7"/>
      <c r="AN8" s="7"/>
      <c r="AO8" s="7"/>
      <c r="AP8" s="7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7"/>
      <c r="BZ8" s="7"/>
      <c r="CA8" s="7"/>
      <c r="CB8" s="7"/>
      <c r="CC8" s="7"/>
      <c r="CD8" s="7"/>
      <c r="CE8" s="7"/>
      <c r="CF8" s="7"/>
      <c r="CG8" s="7"/>
      <c r="CH8" s="7"/>
      <c r="CI8" s="9"/>
      <c r="CJ8" s="9"/>
      <c r="CK8" s="9"/>
      <c r="CL8" s="9"/>
      <c r="CM8" s="9"/>
      <c r="CN8" s="9"/>
      <c r="CO8" s="9"/>
      <c r="CP8" s="9"/>
      <c r="CQ8" s="9"/>
      <c r="CR8" s="9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</row>
    <row r="9" spans="1:123" s="5" customFormat="1" ht="27.95" customHeight="1" thickBot="1" x14ac:dyDescent="0.25">
      <c r="B9" s="148" t="s">
        <v>120</v>
      </c>
      <c r="C9" s="161">
        <v>406097</v>
      </c>
      <c r="D9" s="92">
        <v>1</v>
      </c>
      <c r="E9" s="84" t="s">
        <v>70</v>
      </c>
      <c r="F9" s="36" t="s">
        <v>479</v>
      </c>
      <c r="G9" s="37" t="s">
        <v>283</v>
      </c>
      <c r="H9" s="92">
        <v>2004</v>
      </c>
      <c r="I9" s="192" t="s">
        <v>137</v>
      </c>
      <c r="J9" s="35" t="s">
        <v>108</v>
      </c>
      <c r="K9" s="103">
        <v>42.68</v>
      </c>
      <c r="L9" s="38">
        <v>35</v>
      </c>
      <c r="M9" s="39">
        <v>38</v>
      </c>
      <c r="N9" s="39">
        <v>40</v>
      </c>
      <c r="O9" s="54">
        <f t="shared" ref="O9:O11" si="0">IF(E9="","",IF(MAXA(L9:N9)&lt;=0,0,MAXA(L9:N9)))</f>
        <v>40</v>
      </c>
      <c r="P9" s="53">
        <v>45</v>
      </c>
      <c r="Q9" s="53">
        <v>50</v>
      </c>
      <c r="R9" s="53">
        <v>51</v>
      </c>
      <c r="S9" s="54">
        <f t="shared" ref="S9:S11" si="1">IF(E9="","",IF(MAXA(P9:R9)&lt;=0,0,MAXA(P9:R9)))</f>
        <v>51</v>
      </c>
      <c r="T9" s="55">
        <f t="shared" ref="T9:T11" si="2">IF(E9="","",IF(OR(O9=0,S9=0),0,O9+S9))</f>
        <v>91</v>
      </c>
      <c r="U9" s="56" t="str">
        <f t="shared" ref="U9:U11" si="3">+CONCATENATE(AM9," ",AN9)</f>
        <v>FED + 1</v>
      </c>
      <c r="V9" s="86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C1 45</v>
      </c>
      <c r="W9" s="62">
        <f t="shared" ref="W9:W11" si="4">IF(E9=" "," ",IF(E9="H",10^(0.75194503*LOG(K9/175.508)^2)*T9,IF(E9="F",10^(0.783497476* LOG(K9/153.655)^2)*T9,"")))</f>
        <v>174.81899388750219</v>
      </c>
      <c r="X9" s="63"/>
      <c r="Y9" s="155" t="s">
        <v>441</v>
      </c>
      <c r="AB9" s="90">
        <f>T9-HLOOKUP(V9,Minimas!$C$1:$BN$10,2,FALSE)</f>
        <v>56</v>
      </c>
      <c r="AC9" s="90">
        <f>T9-HLOOKUP(V9,Minimas!$C$1:$BN$10,3,FALSE)</f>
        <v>41</v>
      </c>
      <c r="AD9" s="90">
        <f>T9-HLOOKUP(V9,Minimas!$C$1:$BN$10,4,FALSE)</f>
        <v>31</v>
      </c>
      <c r="AE9" s="90">
        <f>T9-HLOOKUP(V9,Minimas!$C$1:$BN$10,5,FALSE)</f>
        <v>16</v>
      </c>
      <c r="AF9" s="90">
        <f>T9-HLOOKUP(V9,Minimas!$C$1:$BN$10,6,FALSE)</f>
        <v>1</v>
      </c>
      <c r="AG9" s="90">
        <f>T9-HLOOKUP(V9,Minimas!$C$1:$BN$10,7,FALSE)</f>
        <v>-14</v>
      </c>
      <c r="AH9" s="90">
        <f>T9-HLOOKUP(V9,Minimas!$C$1:$BN$10,8,FALSE)</f>
        <v>-24</v>
      </c>
      <c r="AI9" s="90">
        <f>T9-HLOOKUP(V9,Minimas!$C$1:$BN$10,9,FALSE)</f>
        <v>-39</v>
      </c>
      <c r="AJ9" s="90">
        <f>T9-HLOOKUP(V9,Minimas!$C$1:$BN$10,10,FALSE)</f>
        <v>-909</v>
      </c>
      <c r="AK9" s="91" t="str">
        <f>IF(E9=0," ",IF(AJ9&gt;=0,$AJ$5,IF(AI9&gt;=0,$AI$5,IF(AH9&gt;=0,$AH$5,IF(AG9&gt;=0,$AG$5,IF(AF9&gt;=0,$AF$5,IF(AE9&gt;=0,$AE$5,IF(AD9&gt;=0,$AD$5,IF(AC9&gt;=0,$AC$5,$AB$5)))))))))</f>
        <v>FED +</v>
      </c>
      <c r="AM9" s="5" t="str">
        <f t="shared" ref="AM9:AM11" si="5">IF(AK9="","",AK9)</f>
        <v>FED +</v>
      </c>
      <c r="AN9" s="5">
        <f t="shared" ref="AN9:AN11" si="6">IF(E9=0," ",IF(AJ9&gt;=0,AJ9,IF(AI9&gt;=0,AI9,IF(AH9&gt;=0,AH9,IF(AG9&gt;=0,AG9,IF(AF9&gt;=0,AF9,IF(AE9&gt;=0,AE9,IF(AD9&gt;=0,AD9,IF(AC9&gt;=0,AC9,AB9)))))))))</f>
        <v>1</v>
      </c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</row>
    <row r="10" spans="1:123" s="11" customFormat="1" ht="5.0999999999999996" customHeight="1" thickBot="1" x14ac:dyDescent="0.25">
      <c r="A10" s="8"/>
      <c r="B10" s="147"/>
      <c r="C10" s="160"/>
      <c r="D10" s="41"/>
      <c r="E10" s="41"/>
      <c r="F10" s="42"/>
      <c r="G10" s="43"/>
      <c r="H10" s="44"/>
      <c r="I10" s="193"/>
      <c r="J10" s="40"/>
      <c r="K10" s="101"/>
      <c r="L10" s="45"/>
      <c r="M10" s="45"/>
      <c r="N10" s="45"/>
      <c r="O10" s="46"/>
      <c r="P10" s="45"/>
      <c r="Q10" s="45"/>
      <c r="R10" s="45"/>
      <c r="S10" s="46"/>
      <c r="T10" s="46"/>
      <c r="U10" s="41"/>
      <c r="V10" s="48"/>
      <c r="W10" s="47"/>
      <c r="X10" s="7"/>
      <c r="Y10" s="154"/>
      <c r="Z10" s="7"/>
      <c r="AA10" s="7"/>
      <c r="AB10" s="89" t="s">
        <v>60</v>
      </c>
      <c r="AC10" s="89" t="s">
        <v>61</v>
      </c>
      <c r="AD10" s="89" t="s">
        <v>62</v>
      </c>
      <c r="AE10" s="89" t="s">
        <v>63</v>
      </c>
      <c r="AF10" s="89" t="s">
        <v>64</v>
      </c>
      <c r="AG10" s="89" t="s">
        <v>65</v>
      </c>
      <c r="AH10" s="89" t="s">
        <v>66</v>
      </c>
      <c r="AI10" s="89" t="s">
        <v>67</v>
      </c>
      <c r="AJ10" s="89" t="s">
        <v>68</v>
      </c>
      <c r="AK10" s="89"/>
      <c r="AL10" s="7"/>
      <c r="AM10" s="7"/>
      <c r="AN10" s="7"/>
      <c r="AO10" s="7"/>
      <c r="AP10" s="7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</row>
    <row r="11" spans="1:123" s="5" customFormat="1" ht="27.95" customHeight="1" x14ac:dyDescent="0.2">
      <c r="B11" s="148" t="s">
        <v>123</v>
      </c>
      <c r="C11" s="161">
        <v>25104</v>
      </c>
      <c r="D11" s="92">
        <v>1</v>
      </c>
      <c r="E11" s="84" t="s">
        <v>70</v>
      </c>
      <c r="F11" s="36" t="s">
        <v>222</v>
      </c>
      <c r="G11" s="37" t="s">
        <v>526</v>
      </c>
      <c r="H11" s="92">
        <v>2003</v>
      </c>
      <c r="I11" s="192" t="s">
        <v>223</v>
      </c>
      <c r="J11" s="35" t="s">
        <v>108</v>
      </c>
      <c r="K11" s="103">
        <v>46.45</v>
      </c>
      <c r="L11" s="38">
        <v>-45</v>
      </c>
      <c r="M11" s="39">
        <v>45</v>
      </c>
      <c r="N11" s="39">
        <v>-48</v>
      </c>
      <c r="O11" s="54">
        <f t="shared" si="0"/>
        <v>45</v>
      </c>
      <c r="P11" s="53">
        <v>58</v>
      </c>
      <c r="Q11" s="53">
        <v>62</v>
      </c>
      <c r="R11" s="53">
        <v>-65</v>
      </c>
      <c r="S11" s="54">
        <f t="shared" si="1"/>
        <v>62</v>
      </c>
      <c r="T11" s="55">
        <f t="shared" si="2"/>
        <v>107</v>
      </c>
      <c r="U11" s="56" t="str">
        <f t="shared" si="3"/>
        <v>FED + 12</v>
      </c>
      <c r="V11" s="86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C1 50</v>
      </c>
      <c r="W11" s="62">
        <f t="shared" si="4"/>
        <v>190.54528142394267</v>
      </c>
      <c r="X11" s="63"/>
      <c r="Y11" s="155" t="s">
        <v>441</v>
      </c>
      <c r="AB11" s="90">
        <f>T11-HLOOKUP(V11,Minimas!$C$1:$BN$10,2,FALSE)</f>
        <v>67</v>
      </c>
      <c r="AC11" s="90">
        <f>T11-HLOOKUP(V11,Minimas!$C$1:$BN$10,3,FALSE)</f>
        <v>52</v>
      </c>
      <c r="AD11" s="90">
        <f>T11-HLOOKUP(V11,Minimas!$C$1:$BN$10,4,FALSE)</f>
        <v>42</v>
      </c>
      <c r="AE11" s="90">
        <f>T11-HLOOKUP(V11,Minimas!$C$1:$BN$10,5,FALSE)</f>
        <v>27</v>
      </c>
      <c r="AF11" s="90">
        <f>T11-HLOOKUP(V11,Minimas!$C$1:$BN$10,6,FALSE)</f>
        <v>12</v>
      </c>
      <c r="AG11" s="90">
        <f>T11-HLOOKUP(V11,Minimas!$C$1:$BN$10,7,FALSE)</f>
        <v>-3</v>
      </c>
      <c r="AH11" s="90">
        <f>T11-HLOOKUP(V11,Minimas!$C$1:$BN$10,8,FALSE)</f>
        <v>-13</v>
      </c>
      <c r="AI11" s="90">
        <f>T11-HLOOKUP(V11,Minimas!$C$1:$BN$10,9,FALSE)</f>
        <v>-28</v>
      </c>
      <c r="AJ11" s="90">
        <f>T11-HLOOKUP(V11,Minimas!$C$1:$BN$10,10,FALSE)</f>
        <v>-893</v>
      </c>
      <c r="AK11" s="91" t="str">
        <f>IF(E11=0," ",IF(AJ11&gt;=0,$AJ$5,IF(AI11&gt;=0,$AI$5,IF(AH11&gt;=0,$AH$5,IF(AG11&gt;=0,$AG$5,IF(AF11&gt;=0,$AF$5,IF(AE11&gt;=0,$AE$5,IF(AD11&gt;=0,$AD$5,IF(AC11&gt;=0,$AC$5,$AB$5)))))))))</f>
        <v>FED +</v>
      </c>
      <c r="AM11" s="5" t="str">
        <f t="shared" si="5"/>
        <v>FED +</v>
      </c>
      <c r="AN11" s="5">
        <f t="shared" si="6"/>
        <v>12</v>
      </c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</row>
    <row r="12" spans="1:123" s="5" customFormat="1" ht="27.95" customHeight="1" thickBot="1" x14ac:dyDescent="0.25">
      <c r="B12" s="148" t="s">
        <v>189</v>
      </c>
      <c r="C12" s="161">
        <v>406273</v>
      </c>
      <c r="D12" s="92">
        <v>2</v>
      </c>
      <c r="E12" s="84" t="s">
        <v>70</v>
      </c>
      <c r="F12" s="36" t="s">
        <v>480</v>
      </c>
      <c r="G12" s="37" t="s">
        <v>429</v>
      </c>
      <c r="H12" s="92">
        <v>2003</v>
      </c>
      <c r="I12" s="192" t="s">
        <v>537</v>
      </c>
      <c r="J12" s="35" t="s">
        <v>108</v>
      </c>
      <c r="K12" s="103">
        <v>45.95</v>
      </c>
      <c r="L12" s="38">
        <v>37</v>
      </c>
      <c r="M12" s="39">
        <v>40</v>
      </c>
      <c r="N12" s="39">
        <v>42</v>
      </c>
      <c r="O12" s="54">
        <f t="shared" ref="O12:O18" si="7">IF(E12="","",IF(MAXA(L12:N12)&lt;=0,0,MAXA(L12:N12)))</f>
        <v>42</v>
      </c>
      <c r="P12" s="53">
        <v>50</v>
      </c>
      <c r="Q12" s="53">
        <v>53</v>
      </c>
      <c r="R12" s="53">
        <v>-55</v>
      </c>
      <c r="S12" s="54">
        <f t="shared" ref="S12:S18" si="8">IF(E12="","",IF(MAXA(P12:R12)&lt;=0,0,MAXA(P12:R12)))</f>
        <v>53</v>
      </c>
      <c r="T12" s="55">
        <f t="shared" ref="T12:T18" si="9">IF(E12="","",IF(OR(O12=0,S12=0),0,O12+S12))</f>
        <v>95</v>
      </c>
      <c r="U12" s="56" t="str">
        <f t="shared" ref="U12:U18" si="10">+CONCATENATE(AM12," ",AN12)</f>
        <v>FED + 0</v>
      </c>
      <c r="V12" s="86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C1 50</v>
      </c>
      <c r="W12" s="62">
        <f t="shared" ref="W12:W18" si="11">IF(E12=" "," ",IF(E12="H",10^(0.75194503*LOG(K12/175.508)^2)*T12,IF(E12="F",10^(0.783497476* LOG(K12/153.655)^2)*T12,"")))</f>
        <v>170.77937234027081</v>
      </c>
      <c r="X12" s="63"/>
      <c r="Y12" s="155" t="s">
        <v>441</v>
      </c>
      <c r="AB12" s="90">
        <f>T12-HLOOKUP(V12,Minimas!$C$1:$BN$10,2,FALSE)</f>
        <v>55</v>
      </c>
      <c r="AC12" s="90">
        <f>T12-HLOOKUP(V12,Minimas!$C$1:$BN$10,3,FALSE)</f>
        <v>40</v>
      </c>
      <c r="AD12" s="90">
        <f>T12-HLOOKUP(V12,Minimas!$C$1:$BN$10,4,FALSE)</f>
        <v>30</v>
      </c>
      <c r="AE12" s="90">
        <f>T12-HLOOKUP(V12,Minimas!$C$1:$BN$10,5,FALSE)</f>
        <v>15</v>
      </c>
      <c r="AF12" s="90">
        <f>T12-HLOOKUP(V12,Minimas!$C$1:$BN$10,6,FALSE)</f>
        <v>0</v>
      </c>
      <c r="AG12" s="90">
        <f>T12-HLOOKUP(V12,Minimas!$C$1:$BN$10,7,FALSE)</f>
        <v>-15</v>
      </c>
      <c r="AH12" s="90">
        <f>T12-HLOOKUP(V12,Minimas!$C$1:$BN$10,8,FALSE)</f>
        <v>-25</v>
      </c>
      <c r="AI12" s="90">
        <f>T12-HLOOKUP(V12,Minimas!$C$1:$BN$10,9,FALSE)</f>
        <v>-40</v>
      </c>
      <c r="AJ12" s="90">
        <f>T12-HLOOKUP(V12,Minimas!$C$1:$BN$10,10,FALSE)</f>
        <v>-905</v>
      </c>
      <c r="AK12" s="91" t="str">
        <f>IF(E12=0," ",IF(AJ12&gt;=0,$AJ$5,IF(AI12&gt;=0,$AI$5,IF(AH12&gt;=0,$AH$5,IF(AG12&gt;=0,$AG$5,IF(AF12&gt;=0,$AF$5,IF(AE12&gt;=0,$AE$5,IF(AD12&gt;=0,$AD$5,IF(AC12&gt;=0,$AC$5,$AB$5)))))))))</f>
        <v>FED +</v>
      </c>
      <c r="AM12" s="5" t="str">
        <f t="shared" ref="AM12:AM18" si="12">IF(AK12="","",AK12)</f>
        <v>FED +</v>
      </c>
      <c r="AN12" s="5">
        <f t="shared" ref="AN12:AN18" si="13">IF(E12=0," ",IF(AJ12&gt;=0,AJ12,IF(AI12&gt;=0,AI12,IF(AH12&gt;=0,AH12,IF(AG12&gt;=0,AG12,IF(AF12&gt;=0,AF12,IF(AE12&gt;=0,AE12,IF(AD12&gt;=0,AD12,IF(AC12&gt;=0,AC12,AB12)))))))))</f>
        <v>0</v>
      </c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</row>
    <row r="13" spans="1:123" s="11" customFormat="1" ht="5.0999999999999996" customHeight="1" thickBot="1" x14ac:dyDescent="0.25">
      <c r="A13" s="8"/>
      <c r="B13" s="147"/>
      <c r="C13" s="160"/>
      <c r="D13" s="41"/>
      <c r="E13" s="41"/>
      <c r="F13" s="42"/>
      <c r="G13" s="43"/>
      <c r="H13" s="44"/>
      <c r="I13" s="193"/>
      <c r="J13" s="40"/>
      <c r="K13" s="101"/>
      <c r="L13" s="45"/>
      <c r="M13" s="45"/>
      <c r="N13" s="45"/>
      <c r="O13" s="46"/>
      <c r="P13" s="45"/>
      <c r="Q13" s="45"/>
      <c r="R13" s="45"/>
      <c r="S13" s="46"/>
      <c r="T13" s="46"/>
      <c r="U13" s="41"/>
      <c r="V13" s="48"/>
      <c r="W13" s="47"/>
      <c r="X13" s="7"/>
      <c r="Y13" s="154"/>
      <c r="Z13" s="7"/>
      <c r="AA13" s="7"/>
      <c r="AB13" s="89" t="s">
        <v>60</v>
      </c>
      <c r="AC13" s="89" t="s">
        <v>61</v>
      </c>
      <c r="AD13" s="89" t="s">
        <v>62</v>
      </c>
      <c r="AE13" s="89" t="s">
        <v>63</v>
      </c>
      <c r="AF13" s="89" t="s">
        <v>64</v>
      </c>
      <c r="AG13" s="89" t="s">
        <v>65</v>
      </c>
      <c r="AH13" s="89" t="s">
        <v>66</v>
      </c>
      <c r="AI13" s="89" t="s">
        <v>67</v>
      </c>
      <c r="AJ13" s="89" t="s">
        <v>68</v>
      </c>
      <c r="AK13" s="89"/>
      <c r="AL13" s="7"/>
      <c r="AM13" s="7"/>
      <c r="AN13" s="7"/>
      <c r="AO13" s="7"/>
      <c r="AP13" s="7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</row>
    <row r="14" spans="1:123" s="5" customFormat="1" ht="27.95" customHeight="1" x14ac:dyDescent="0.2">
      <c r="B14" s="148" t="s">
        <v>122</v>
      </c>
      <c r="C14" s="161">
        <v>404054</v>
      </c>
      <c r="D14" s="92">
        <v>1</v>
      </c>
      <c r="E14" s="84" t="s">
        <v>70</v>
      </c>
      <c r="F14" s="36" t="s">
        <v>481</v>
      </c>
      <c r="G14" s="37" t="s">
        <v>482</v>
      </c>
      <c r="H14" s="92">
        <v>2004</v>
      </c>
      <c r="I14" s="192" t="s">
        <v>483</v>
      </c>
      <c r="J14" s="35" t="s">
        <v>108</v>
      </c>
      <c r="K14" s="103">
        <v>54.1</v>
      </c>
      <c r="L14" s="38">
        <v>50</v>
      </c>
      <c r="M14" s="39">
        <v>52</v>
      </c>
      <c r="N14" s="39">
        <v>-55</v>
      </c>
      <c r="O14" s="54">
        <f t="shared" ref="O14:O16" si="14">IF(E14="","",IF(MAXA(L14:N14)&lt;=0,0,MAXA(L14:N14)))</f>
        <v>52</v>
      </c>
      <c r="P14" s="53">
        <v>63</v>
      </c>
      <c r="Q14" s="53">
        <v>68</v>
      </c>
      <c r="R14" s="53">
        <v>-72</v>
      </c>
      <c r="S14" s="54">
        <f t="shared" ref="S14:S16" si="15">IF(E14="","",IF(MAXA(P14:R14)&lt;=0,0,MAXA(P14:R14)))</f>
        <v>68</v>
      </c>
      <c r="T14" s="55">
        <f t="shared" ref="T14:T16" si="16">IF(E14="","",IF(OR(O14=0,S14=0),0,O14+S14))</f>
        <v>120</v>
      </c>
      <c r="U14" s="56" t="str">
        <f t="shared" ref="U14:U16" si="17">+CONCATENATE(AM14," ",AN14)</f>
        <v>FED + 5</v>
      </c>
      <c r="V14" s="86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C1 56</v>
      </c>
      <c r="W14" s="62">
        <f t="shared" ref="W14:W16" si="18">IF(E14=" "," ",IF(E14="H",10^(0.75194503*LOG(K14/175.508)^2)*T14,IF(E14="F",10^(0.783497476* LOG(K14/153.655)^2)*T14,"")))</f>
        <v>188.62813601341125</v>
      </c>
      <c r="X14" s="63"/>
      <c r="Y14" s="155" t="s">
        <v>441</v>
      </c>
      <c r="AB14" s="90">
        <f>T14-HLOOKUP(V14,Minimas!$C$1:$BN$10,2,FALSE)</f>
        <v>70</v>
      </c>
      <c r="AC14" s="90">
        <f>T14-HLOOKUP(V14,Minimas!$C$1:$BN$10,3,FALSE)</f>
        <v>50</v>
      </c>
      <c r="AD14" s="90">
        <f>T14-HLOOKUP(V14,Minimas!$C$1:$BN$10,4,FALSE)</f>
        <v>35</v>
      </c>
      <c r="AE14" s="90">
        <f>T14-HLOOKUP(V14,Minimas!$C$1:$BN$10,5,FALSE)</f>
        <v>20</v>
      </c>
      <c r="AF14" s="90">
        <f>T14-HLOOKUP(V14,Minimas!$C$1:$BN$10,6,FALSE)</f>
        <v>5</v>
      </c>
      <c r="AG14" s="90">
        <f>T14-HLOOKUP(V14,Minimas!$C$1:$BN$10,7,FALSE)</f>
        <v>-10</v>
      </c>
      <c r="AH14" s="90">
        <f>T14-HLOOKUP(V14,Minimas!$C$1:$BN$10,8,FALSE)</f>
        <v>-25</v>
      </c>
      <c r="AI14" s="90">
        <f>T14-HLOOKUP(V14,Minimas!$C$1:$BN$10,9,FALSE)</f>
        <v>-50</v>
      </c>
      <c r="AJ14" s="90">
        <f>T14-HLOOKUP(V14,Minimas!$C$1:$BN$10,10,FALSE)</f>
        <v>-880</v>
      </c>
      <c r="AK14" s="91" t="str">
        <f>IF(E14=0," ",IF(AJ14&gt;=0,$AJ$5,IF(AI14&gt;=0,$AI$5,IF(AH14&gt;=0,$AH$5,IF(AG14&gt;=0,$AG$5,IF(AF14&gt;=0,$AF$5,IF(AE14&gt;=0,$AE$5,IF(AD14&gt;=0,$AD$5,IF(AC14&gt;=0,$AC$5,$AB$5)))))))))</f>
        <v>FED +</v>
      </c>
      <c r="AM14" s="5" t="str">
        <f t="shared" ref="AM14:AM16" si="19">IF(AK14="","",AK14)</f>
        <v>FED +</v>
      </c>
      <c r="AN14" s="5">
        <f t="shared" ref="AN14:AN16" si="20">IF(E14=0," ",IF(AJ14&gt;=0,AJ14,IF(AI14&gt;=0,AI14,IF(AH14&gt;=0,AH14,IF(AG14&gt;=0,AG14,IF(AF14&gt;=0,AF14,IF(AE14&gt;=0,AE14,IF(AD14&gt;=0,AD14,IF(AC14&gt;=0,AC14,AB14)))))))))</f>
        <v>5</v>
      </c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</row>
    <row r="15" spans="1:123" s="5" customFormat="1" ht="27.95" customHeight="1" x14ac:dyDescent="0.2">
      <c r="B15" s="148" t="s">
        <v>121</v>
      </c>
      <c r="C15" s="161">
        <v>401154</v>
      </c>
      <c r="D15" s="92">
        <v>3</v>
      </c>
      <c r="E15" s="84" t="s">
        <v>70</v>
      </c>
      <c r="F15" s="36" t="s">
        <v>380</v>
      </c>
      <c r="G15" s="37" t="s">
        <v>381</v>
      </c>
      <c r="H15" s="92">
        <v>2004</v>
      </c>
      <c r="I15" s="192" t="s">
        <v>355</v>
      </c>
      <c r="J15" s="35" t="s">
        <v>108</v>
      </c>
      <c r="K15" s="103">
        <v>55.2</v>
      </c>
      <c r="L15" s="38">
        <v>48</v>
      </c>
      <c r="M15" s="39">
        <v>-51</v>
      </c>
      <c r="N15" s="39">
        <v>51</v>
      </c>
      <c r="O15" s="54">
        <f t="shared" si="14"/>
        <v>51</v>
      </c>
      <c r="P15" s="53">
        <v>60</v>
      </c>
      <c r="Q15" s="53">
        <v>65</v>
      </c>
      <c r="R15" s="53">
        <v>-70</v>
      </c>
      <c r="S15" s="54">
        <f t="shared" si="15"/>
        <v>65</v>
      </c>
      <c r="T15" s="55">
        <f t="shared" si="16"/>
        <v>116</v>
      </c>
      <c r="U15" s="56" t="str">
        <f t="shared" si="17"/>
        <v>FED + 1</v>
      </c>
      <c r="V15" s="86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C1 56</v>
      </c>
      <c r="W15" s="62">
        <f t="shared" si="18"/>
        <v>179.56487717923599</v>
      </c>
      <c r="X15" s="63"/>
      <c r="Y15" s="156" t="s">
        <v>319</v>
      </c>
      <c r="AB15" s="90">
        <f>T15-HLOOKUP(V15,Minimas!$C$1:$BN$10,2,FALSE)</f>
        <v>66</v>
      </c>
      <c r="AC15" s="90">
        <f>T15-HLOOKUP(V15,Minimas!$C$1:$BN$10,3,FALSE)</f>
        <v>46</v>
      </c>
      <c r="AD15" s="90">
        <f>T15-HLOOKUP(V15,Minimas!$C$1:$BN$10,4,FALSE)</f>
        <v>31</v>
      </c>
      <c r="AE15" s="90">
        <f>T15-HLOOKUP(V15,Minimas!$C$1:$BN$10,5,FALSE)</f>
        <v>16</v>
      </c>
      <c r="AF15" s="90">
        <f>T15-HLOOKUP(V15,Minimas!$C$1:$BN$10,6,FALSE)</f>
        <v>1</v>
      </c>
      <c r="AG15" s="90">
        <f>T15-HLOOKUP(V15,Minimas!$C$1:$BN$10,7,FALSE)</f>
        <v>-14</v>
      </c>
      <c r="AH15" s="90">
        <f>T15-HLOOKUP(V15,Minimas!$C$1:$BN$10,8,FALSE)</f>
        <v>-29</v>
      </c>
      <c r="AI15" s="90">
        <f>T15-HLOOKUP(V15,Minimas!$C$1:$BN$10,9,FALSE)</f>
        <v>-54</v>
      </c>
      <c r="AJ15" s="90">
        <f>T15-HLOOKUP(V15,Minimas!$C$1:$BN$10,10,FALSE)</f>
        <v>-884</v>
      </c>
      <c r="AK15" s="91" t="str">
        <f>IF(E15=0," ",IF(AJ15&gt;=0,$AJ$5,IF(AI15&gt;=0,$AI$5,IF(AH15&gt;=0,$AH$5,IF(AG15&gt;=0,$AG$5,IF(AF15&gt;=0,$AF$5,IF(AE15&gt;=0,$AE$5,IF(AD15&gt;=0,$AD$5,IF(AC15&gt;=0,$AC$5,$AB$5)))))))))</f>
        <v>FED +</v>
      </c>
      <c r="AM15" s="5" t="str">
        <f t="shared" si="19"/>
        <v>FED +</v>
      </c>
      <c r="AN15" s="5">
        <f t="shared" si="20"/>
        <v>1</v>
      </c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</row>
    <row r="16" spans="1:123" s="5" customFormat="1" ht="27.95" customHeight="1" x14ac:dyDescent="0.2">
      <c r="B16" s="148" t="s">
        <v>121</v>
      </c>
      <c r="C16" s="161">
        <v>386626</v>
      </c>
      <c r="D16" s="92">
        <v>2</v>
      </c>
      <c r="E16" s="84" t="s">
        <v>70</v>
      </c>
      <c r="F16" s="36" t="s">
        <v>484</v>
      </c>
      <c r="G16" s="37" t="s">
        <v>485</v>
      </c>
      <c r="H16" s="92">
        <v>2004</v>
      </c>
      <c r="I16" s="192" t="s">
        <v>556</v>
      </c>
      <c r="J16" s="35" t="s">
        <v>108</v>
      </c>
      <c r="K16" s="103">
        <v>54.4</v>
      </c>
      <c r="L16" s="38">
        <v>45</v>
      </c>
      <c r="M16" s="39">
        <v>-48</v>
      </c>
      <c r="N16" s="39">
        <v>50</v>
      </c>
      <c r="O16" s="54">
        <f t="shared" si="14"/>
        <v>50</v>
      </c>
      <c r="P16" s="53">
        <v>60</v>
      </c>
      <c r="Q16" s="53">
        <v>65</v>
      </c>
      <c r="R16" s="53" t="s">
        <v>126</v>
      </c>
      <c r="S16" s="54">
        <f t="shared" si="15"/>
        <v>65</v>
      </c>
      <c r="T16" s="55">
        <f t="shared" si="16"/>
        <v>115</v>
      </c>
      <c r="U16" s="56" t="str">
        <f t="shared" si="17"/>
        <v>FED + 0</v>
      </c>
      <c r="V16" s="86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>C1 56</v>
      </c>
      <c r="W16" s="62">
        <f t="shared" si="18"/>
        <v>180.00369400296327</v>
      </c>
      <c r="X16" s="63"/>
      <c r="Y16" s="155" t="s">
        <v>441</v>
      </c>
      <c r="AB16" s="90">
        <f>T16-HLOOKUP(V16,Minimas!$C$1:$BN$10,2,FALSE)</f>
        <v>65</v>
      </c>
      <c r="AC16" s="90">
        <f>T16-HLOOKUP(V16,Minimas!$C$1:$BN$10,3,FALSE)</f>
        <v>45</v>
      </c>
      <c r="AD16" s="90">
        <f>T16-HLOOKUP(V16,Minimas!$C$1:$BN$10,4,FALSE)</f>
        <v>30</v>
      </c>
      <c r="AE16" s="90">
        <f>T16-HLOOKUP(V16,Minimas!$C$1:$BN$10,5,FALSE)</f>
        <v>15</v>
      </c>
      <c r="AF16" s="90">
        <f>T16-HLOOKUP(V16,Minimas!$C$1:$BN$10,6,FALSE)</f>
        <v>0</v>
      </c>
      <c r="AG16" s="90">
        <f>T16-HLOOKUP(V16,Minimas!$C$1:$BN$10,7,FALSE)</f>
        <v>-15</v>
      </c>
      <c r="AH16" s="90">
        <f>T16-HLOOKUP(V16,Minimas!$C$1:$BN$10,8,FALSE)</f>
        <v>-30</v>
      </c>
      <c r="AI16" s="90">
        <f>T16-HLOOKUP(V16,Minimas!$C$1:$BN$10,9,FALSE)</f>
        <v>-55</v>
      </c>
      <c r="AJ16" s="90">
        <f>T16-HLOOKUP(V16,Minimas!$C$1:$BN$10,10,FALSE)</f>
        <v>-885</v>
      </c>
      <c r="AK16" s="91" t="str">
        <f>IF(E16=0," ",IF(AJ16&gt;=0,$AJ$5,IF(AI16&gt;=0,$AI$5,IF(AH16&gt;=0,$AH$5,IF(AG16&gt;=0,$AG$5,IF(AF16&gt;=0,$AF$5,IF(AE16&gt;=0,$AE$5,IF(AD16&gt;=0,$AD$5,IF(AC16&gt;=0,$AC$5,$AB$5)))))))))</f>
        <v>FED +</v>
      </c>
      <c r="AM16" s="5" t="str">
        <f t="shared" si="19"/>
        <v>FED +</v>
      </c>
      <c r="AN16" s="5">
        <f t="shared" si="20"/>
        <v>0</v>
      </c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</row>
    <row r="17" spans="1:123" s="5" customFormat="1" ht="27.95" customHeight="1" x14ac:dyDescent="0.2">
      <c r="B17" s="148" t="s">
        <v>324</v>
      </c>
      <c r="C17" s="161">
        <v>435165</v>
      </c>
      <c r="D17" s="92">
        <v>4</v>
      </c>
      <c r="E17" s="84" t="s">
        <v>70</v>
      </c>
      <c r="F17" s="36" t="s">
        <v>382</v>
      </c>
      <c r="G17" s="37" t="s">
        <v>527</v>
      </c>
      <c r="H17" s="92">
        <v>2004</v>
      </c>
      <c r="I17" s="192" t="s">
        <v>383</v>
      </c>
      <c r="J17" s="35" t="s">
        <v>108</v>
      </c>
      <c r="K17" s="103">
        <v>56</v>
      </c>
      <c r="L17" s="38">
        <v>45</v>
      </c>
      <c r="M17" s="39">
        <v>50</v>
      </c>
      <c r="N17" s="39">
        <v>-52</v>
      </c>
      <c r="O17" s="54">
        <f t="shared" si="7"/>
        <v>50</v>
      </c>
      <c r="P17" s="53">
        <v>58</v>
      </c>
      <c r="Q17" s="53">
        <v>62</v>
      </c>
      <c r="R17" s="53">
        <v>65</v>
      </c>
      <c r="S17" s="54">
        <f t="shared" si="8"/>
        <v>65</v>
      </c>
      <c r="T17" s="55">
        <f t="shared" si="9"/>
        <v>115</v>
      </c>
      <c r="U17" s="56" t="str">
        <f t="shared" si="10"/>
        <v>FED + 0</v>
      </c>
      <c r="V17" s="86" t="str">
        <f>IF(E17=0,"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C1 56</v>
      </c>
      <c r="W17" s="62">
        <f t="shared" si="11"/>
        <v>176.10414664000896</v>
      </c>
      <c r="X17" s="63"/>
      <c r="Y17" s="156" t="s">
        <v>319</v>
      </c>
      <c r="AB17" s="90">
        <f>T17-HLOOKUP(V17,Minimas!$C$1:$BN$10,2,FALSE)</f>
        <v>65</v>
      </c>
      <c r="AC17" s="90">
        <f>T17-HLOOKUP(V17,Minimas!$C$1:$BN$10,3,FALSE)</f>
        <v>45</v>
      </c>
      <c r="AD17" s="90">
        <f>T17-HLOOKUP(V17,Minimas!$C$1:$BN$10,4,FALSE)</f>
        <v>30</v>
      </c>
      <c r="AE17" s="90">
        <f>T17-HLOOKUP(V17,Minimas!$C$1:$BN$10,5,FALSE)</f>
        <v>15</v>
      </c>
      <c r="AF17" s="90">
        <f>T17-HLOOKUP(V17,Minimas!$C$1:$BN$10,6,FALSE)</f>
        <v>0</v>
      </c>
      <c r="AG17" s="90">
        <f>T17-HLOOKUP(V17,Minimas!$C$1:$BN$10,7,FALSE)</f>
        <v>-15</v>
      </c>
      <c r="AH17" s="90">
        <f>T17-HLOOKUP(V17,Minimas!$C$1:$BN$10,8,FALSE)</f>
        <v>-30</v>
      </c>
      <c r="AI17" s="90">
        <f>T17-HLOOKUP(V17,Minimas!$C$1:$BN$10,9,FALSE)</f>
        <v>-55</v>
      </c>
      <c r="AJ17" s="90">
        <f>T17-HLOOKUP(V17,Minimas!$C$1:$BN$10,10,FALSE)</f>
        <v>-885</v>
      </c>
      <c r="AK17" s="91" t="str">
        <f>IF(E17=0," ",IF(AJ17&gt;=0,$AJ$5,IF(AI17&gt;=0,$AI$5,IF(AH17&gt;=0,$AH$5,IF(AG17&gt;=0,$AG$5,IF(AF17&gt;=0,$AF$5,IF(AE17&gt;=0,$AE$5,IF(AD17&gt;=0,$AD$5,IF(AC17&gt;=0,$AC$5,$AB$5)))))))))</f>
        <v>FED +</v>
      </c>
      <c r="AM17" s="5" t="str">
        <f t="shared" si="12"/>
        <v>FED +</v>
      </c>
      <c r="AN17" s="5">
        <f t="shared" si="13"/>
        <v>0</v>
      </c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</row>
    <row r="18" spans="1:123" s="5" customFormat="1" ht="27.95" customHeight="1" thickBot="1" x14ac:dyDescent="0.25">
      <c r="B18" s="148" t="s">
        <v>123</v>
      </c>
      <c r="C18" s="161">
        <v>355145</v>
      </c>
      <c r="D18" s="92">
        <v>5</v>
      </c>
      <c r="E18" s="84" t="s">
        <v>70</v>
      </c>
      <c r="F18" s="36" t="s">
        <v>224</v>
      </c>
      <c r="G18" s="37" t="s">
        <v>528</v>
      </c>
      <c r="H18" s="92">
        <v>2004</v>
      </c>
      <c r="I18" s="192" t="s">
        <v>127</v>
      </c>
      <c r="J18" s="35" t="s">
        <v>108</v>
      </c>
      <c r="K18" s="103">
        <v>55.65</v>
      </c>
      <c r="L18" s="38">
        <v>45</v>
      </c>
      <c r="M18" s="39">
        <v>48</v>
      </c>
      <c r="N18" s="39">
        <v>50</v>
      </c>
      <c r="O18" s="54">
        <f t="shared" si="7"/>
        <v>50</v>
      </c>
      <c r="P18" s="53">
        <v>59</v>
      </c>
      <c r="Q18" s="53">
        <v>62</v>
      </c>
      <c r="R18" s="53">
        <v>65</v>
      </c>
      <c r="S18" s="54">
        <f t="shared" si="8"/>
        <v>65</v>
      </c>
      <c r="T18" s="55">
        <f t="shared" si="9"/>
        <v>115</v>
      </c>
      <c r="U18" s="56" t="str">
        <f t="shared" si="10"/>
        <v>FED + 0</v>
      </c>
      <c r="V18" s="86" t="str">
        <f>IF(E18=0,"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>C1 56</v>
      </c>
      <c r="W18" s="62">
        <f t="shared" si="11"/>
        <v>176.93211267126506</v>
      </c>
      <c r="X18" s="63"/>
      <c r="Y18" s="157" t="s">
        <v>131</v>
      </c>
      <c r="AB18" s="90">
        <f>T18-HLOOKUP(V18,Minimas!$C$1:$BN$10,2,FALSE)</f>
        <v>65</v>
      </c>
      <c r="AC18" s="90">
        <f>T18-HLOOKUP(V18,Minimas!$C$1:$BN$10,3,FALSE)</f>
        <v>45</v>
      </c>
      <c r="AD18" s="90">
        <f>T18-HLOOKUP(V18,Minimas!$C$1:$BN$10,4,FALSE)</f>
        <v>30</v>
      </c>
      <c r="AE18" s="90">
        <f>T18-HLOOKUP(V18,Minimas!$C$1:$BN$10,5,FALSE)</f>
        <v>15</v>
      </c>
      <c r="AF18" s="90">
        <f>T18-HLOOKUP(V18,Minimas!$C$1:$BN$10,6,FALSE)</f>
        <v>0</v>
      </c>
      <c r="AG18" s="90">
        <f>T18-HLOOKUP(V18,Minimas!$C$1:$BN$10,7,FALSE)</f>
        <v>-15</v>
      </c>
      <c r="AH18" s="90">
        <f>T18-HLOOKUP(V18,Minimas!$C$1:$BN$10,8,FALSE)</f>
        <v>-30</v>
      </c>
      <c r="AI18" s="90">
        <f>T18-HLOOKUP(V18,Minimas!$C$1:$BN$10,9,FALSE)</f>
        <v>-55</v>
      </c>
      <c r="AJ18" s="90">
        <f>T18-HLOOKUP(V18,Minimas!$C$1:$BN$10,10,FALSE)</f>
        <v>-885</v>
      </c>
      <c r="AK18" s="91" t="str">
        <f>IF(E18=0," ",IF(AJ18&gt;=0,$AJ$5,IF(AI18&gt;=0,$AI$5,IF(AH18&gt;=0,$AH$5,IF(AG18&gt;=0,$AG$5,IF(AF18&gt;=0,$AF$5,IF(AE18&gt;=0,$AE$5,IF(AD18&gt;=0,$AD$5,IF(AC18&gt;=0,$AC$5,$AB$5)))))))))</f>
        <v>FED +</v>
      </c>
      <c r="AM18" s="5" t="str">
        <f t="shared" si="12"/>
        <v>FED +</v>
      </c>
      <c r="AN18" s="5">
        <f t="shared" si="13"/>
        <v>0</v>
      </c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</row>
    <row r="19" spans="1:123" s="11" customFormat="1" ht="5.0999999999999996" customHeight="1" thickBot="1" x14ac:dyDescent="0.25">
      <c r="A19" s="8"/>
      <c r="B19" s="147"/>
      <c r="C19" s="160"/>
      <c r="D19" s="41"/>
      <c r="E19" s="41"/>
      <c r="F19" s="42"/>
      <c r="G19" s="43"/>
      <c r="H19" s="44"/>
      <c r="I19" s="193"/>
      <c r="J19" s="40"/>
      <c r="K19" s="101"/>
      <c r="L19" s="45"/>
      <c r="M19" s="45"/>
      <c r="N19" s="45"/>
      <c r="O19" s="46"/>
      <c r="P19" s="45"/>
      <c r="Q19" s="45"/>
      <c r="R19" s="45"/>
      <c r="S19" s="46"/>
      <c r="T19" s="46"/>
      <c r="U19" s="41"/>
      <c r="V19" s="48"/>
      <c r="W19" s="47"/>
      <c r="X19" s="7"/>
      <c r="Y19" s="154"/>
      <c r="Z19" s="7"/>
      <c r="AA19" s="7"/>
      <c r="AB19" s="89" t="s">
        <v>60</v>
      </c>
      <c r="AC19" s="89" t="s">
        <v>61</v>
      </c>
      <c r="AD19" s="89" t="s">
        <v>62</v>
      </c>
      <c r="AE19" s="89" t="s">
        <v>63</v>
      </c>
      <c r="AF19" s="89" t="s">
        <v>64</v>
      </c>
      <c r="AG19" s="89" t="s">
        <v>65</v>
      </c>
      <c r="AH19" s="89" t="s">
        <v>66</v>
      </c>
      <c r="AI19" s="89" t="s">
        <v>67</v>
      </c>
      <c r="AJ19" s="89" t="s">
        <v>68</v>
      </c>
      <c r="AK19" s="89"/>
      <c r="AL19" s="7"/>
      <c r="AM19" s="7"/>
      <c r="AN19" s="7"/>
      <c r="AO19" s="7"/>
      <c r="AP19" s="7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</row>
    <row r="20" spans="1:123" s="5" customFormat="1" ht="27.95" customHeight="1" x14ac:dyDescent="0.2">
      <c r="B20" s="148" t="s">
        <v>123</v>
      </c>
      <c r="C20" s="161">
        <v>412228</v>
      </c>
      <c r="D20" s="92">
        <v>1</v>
      </c>
      <c r="E20" s="84" t="s">
        <v>70</v>
      </c>
      <c r="F20" s="36" t="s">
        <v>225</v>
      </c>
      <c r="G20" s="37" t="s">
        <v>529</v>
      </c>
      <c r="H20" s="92">
        <v>2004</v>
      </c>
      <c r="I20" s="192" t="s">
        <v>226</v>
      </c>
      <c r="J20" s="35" t="s">
        <v>108</v>
      </c>
      <c r="K20" s="103">
        <v>61.1</v>
      </c>
      <c r="L20" s="38">
        <v>60</v>
      </c>
      <c r="M20" s="39">
        <v>64</v>
      </c>
      <c r="N20" s="39">
        <v>67</v>
      </c>
      <c r="O20" s="54">
        <f>IF(E20="","",IF(MAXA(L20:N20)&lt;=0,0,MAXA(L20:N20)))</f>
        <v>67</v>
      </c>
      <c r="P20" s="53">
        <v>77</v>
      </c>
      <c r="Q20" s="53">
        <v>80</v>
      </c>
      <c r="R20" s="53">
        <v>82</v>
      </c>
      <c r="S20" s="54">
        <f>IF(E20="","",IF(MAXA(P20:R20)&lt;=0,0,MAXA(P20:R20)))</f>
        <v>82</v>
      </c>
      <c r="T20" s="55">
        <f>IF(E20="","",IF(OR(O20=0,S20=0),0,O20+S20))</f>
        <v>149</v>
      </c>
      <c r="U20" s="56" t="str">
        <f>+CONCATENATE(AM20," ",AN20)</f>
        <v>FED + 14</v>
      </c>
      <c r="V20" s="86" t="str">
        <f>IF(E20=0,"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>C1 62</v>
      </c>
      <c r="W20" s="62">
        <f>IF(E20=" "," ",IF(E20="H",10^(0.75194503*LOG(K20/175.508)^2)*T20,IF(E20="F",10^(0.783497476* LOG(K20/153.655)^2)*T20,"")))</f>
        <v>214.33517068994783</v>
      </c>
      <c r="X20" s="63"/>
      <c r="Y20" s="156" t="s">
        <v>319</v>
      </c>
      <c r="AB20" s="90">
        <f>T20-HLOOKUP(V20,Minimas!$C$1:$BN$10,2,FALSE)</f>
        <v>74</v>
      </c>
      <c r="AC20" s="90">
        <f>T20-HLOOKUP(V20,Minimas!$C$1:$BN$10,3,FALSE)</f>
        <v>54</v>
      </c>
      <c r="AD20" s="90">
        <f>T20-HLOOKUP(V20,Minimas!$C$1:$BN$10,4,FALSE)</f>
        <v>44</v>
      </c>
      <c r="AE20" s="90">
        <f>T20-HLOOKUP(V20,Minimas!$C$1:$BN$10,5,FALSE)</f>
        <v>29</v>
      </c>
      <c r="AF20" s="90">
        <f>T20-HLOOKUP(V20,Minimas!$C$1:$BN$10,6,FALSE)</f>
        <v>14</v>
      </c>
      <c r="AG20" s="90">
        <f>T20-HLOOKUP(V20,Minimas!$C$1:$BN$10,7,FALSE)</f>
        <v>-1</v>
      </c>
      <c r="AH20" s="90">
        <f>T20-HLOOKUP(V20,Minimas!$C$1:$BN$10,8,FALSE)</f>
        <v>-21</v>
      </c>
      <c r="AI20" s="90">
        <f>T20-HLOOKUP(V20,Minimas!$C$1:$BN$10,9,FALSE)</f>
        <v>-41</v>
      </c>
      <c r="AJ20" s="90">
        <f>T20-HLOOKUP(V20,Minimas!$C$1:$BN$10,10,FALSE)</f>
        <v>-851</v>
      </c>
      <c r="AK20" s="91" t="str">
        <f>IF(E20=0," ",IF(AJ20&gt;=0,$AJ$5,IF(AI20&gt;=0,$AI$5,IF(AH20&gt;=0,$AH$5,IF(AG20&gt;=0,$AG$5,IF(AF20&gt;=0,$AF$5,IF(AE20&gt;=0,$AE$5,IF(AD20&gt;=0,$AD$5,IF(AC20&gt;=0,$AC$5,$AB$5)))))))))</f>
        <v>FED +</v>
      </c>
      <c r="AM20" s="5" t="str">
        <f>IF(AK20="","",AK20)</f>
        <v>FED +</v>
      </c>
      <c r="AN20" s="5">
        <f>IF(E20=0," ",IF(AJ20&gt;=0,AJ20,IF(AI20&gt;=0,AI20,IF(AH20&gt;=0,AH20,IF(AG20&gt;=0,AG20,IF(AF20&gt;=0,AF20,IF(AE20&gt;=0,AE20,IF(AD20&gt;=0,AD20,IF(AC20&gt;=0,AC20,AB20)))))))))</f>
        <v>14</v>
      </c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</row>
    <row r="21" spans="1:123" s="5" customFormat="1" ht="27.95" customHeight="1" x14ac:dyDescent="0.2">
      <c r="B21" s="148" t="s">
        <v>125</v>
      </c>
      <c r="C21" s="161">
        <v>399561</v>
      </c>
      <c r="D21" s="92">
        <v>3</v>
      </c>
      <c r="E21" s="84" t="s">
        <v>70</v>
      </c>
      <c r="F21" s="36" t="s">
        <v>386</v>
      </c>
      <c r="G21" s="37" t="s">
        <v>387</v>
      </c>
      <c r="H21" s="92">
        <v>2003</v>
      </c>
      <c r="I21" s="192" t="s">
        <v>538</v>
      </c>
      <c r="J21" s="35" t="s">
        <v>108</v>
      </c>
      <c r="K21" s="103">
        <v>60.8</v>
      </c>
      <c r="L21" s="38">
        <v>60</v>
      </c>
      <c r="M21" s="39">
        <v>64</v>
      </c>
      <c r="N21" s="39">
        <v>67</v>
      </c>
      <c r="O21" s="54">
        <f>IF(E21="","",IF(MAXA(L21:N21)&lt;=0,0,MAXA(L21:N21)))</f>
        <v>67</v>
      </c>
      <c r="P21" s="53">
        <v>75</v>
      </c>
      <c r="Q21" s="53">
        <v>80</v>
      </c>
      <c r="R21" s="53">
        <v>-83</v>
      </c>
      <c r="S21" s="54">
        <f>IF(E21="","",IF(MAXA(P21:R21)&lt;=0,0,MAXA(P21:R21)))</f>
        <v>80</v>
      </c>
      <c r="T21" s="55">
        <f>IF(E21="","",IF(OR(O21=0,S21=0),0,O21+S21))</f>
        <v>147</v>
      </c>
      <c r="U21" s="56" t="str">
        <f>+CONCATENATE(AM21," ",AN21)</f>
        <v>FED + 12</v>
      </c>
      <c r="V21" s="86" t="str">
        <f>IF(E21=0,"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>C1 62</v>
      </c>
      <c r="W21" s="62">
        <f>IF(E21=" "," ",IF(E21="H",10^(0.75194503*LOG(K21/175.508)^2)*T21,IF(E21="F",10^(0.783497476* LOG(K21/153.655)^2)*T21,"")))</f>
        <v>212.17837866904944</v>
      </c>
      <c r="X21" s="63"/>
      <c r="Y21" s="155" t="s">
        <v>441</v>
      </c>
      <c r="AB21" s="90">
        <f>T21-HLOOKUP(V21,Minimas!$C$1:$BN$10,2,FALSE)</f>
        <v>72</v>
      </c>
      <c r="AC21" s="90">
        <f>T21-HLOOKUP(V21,Minimas!$C$1:$BN$10,3,FALSE)</f>
        <v>52</v>
      </c>
      <c r="AD21" s="90">
        <f>T21-HLOOKUP(V21,Minimas!$C$1:$BN$10,4,FALSE)</f>
        <v>42</v>
      </c>
      <c r="AE21" s="90">
        <f>T21-HLOOKUP(V21,Minimas!$C$1:$BN$10,5,FALSE)</f>
        <v>27</v>
      </c>
      <c r="AF21" s="90">
        <f>T21-HLOOKUP(V21,Minimas!$C$1:$BN$10,6,FALSE)</f>
        <v>12</v>
      </c>
      <c r="AG21" s="90">
        <f>T21-HLOOKUP(V21,Minimas!$C$1:$BN$10,7,FALSE)</f>
        <v>-3</v>
      </c>
      <c r="AH21" s="90">
        <f>T21-HLOOKUP(V21,Minimas!$C$1:$BN$10,8,FALSE)</f>
        <v>-23</v>
      </c>
      <c r="AI21" s="90">
        <f>T21-HLOOKUP(V21,Minimas!$C$1:$BN$10,9,FALSE)</f>
        <v>-43</v>
      </c>
      <c r="AJ21" s="90">
        <f>T21-HLOOKUP(V21,Minimas!$C$1:$BN$10,10,FALSE)</f>
        <v>-853</v>
      </c>
      <c r="AK21" s="91" t="str">
        <f>IF(E21=0," ",IF(AJ21&gt;=0,$AJ$5,IF(AI21&gt;=0,$AI$5,IF(AH21&gt;=0,$AH$5,IF(AG21&gt;=0,$AG$5,IF(AF21&gt;=0,$AF$5,IF(AE21&gt;=0,$AE$5,IF(AD21&gt;=0,$AD$5,IF(AC21&gt;=0,$AC$5,$AB$5)))))))))</f>
        <v>FED +</v>
      </c>
      <c r="AM21" s="5" t="str">
        <f>IF(AK21="","",AK21)</f>
        <v>FED +</v>
      </c>
      <c r="AN21" s="5">
        <f>IF(E21=0," ",IF(AJ21&gt;=0,AJ21,IF(AI21&gt;=0,AI21,IF(AH21&gt;=0,AH21,IF(AG21&gt;=0,AG21,IF(AF21&gt;=0,AF21,IF(AE21&gt;=0,AE21,IF(AD21&gt;=0,AD21,IF(AC21&gt;=0,AC21,AB21)))))))))</f>
        <v>12</v>
      </c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</row>
    <row r="22" spans="1:123" s="5" customFormat="1" ht="27.95" customHeight="1" x14ac:dyDescent="0.2">
      <c r="B22" s="148" t="s">
        <v>120</v>
      </c>
      <c r="C22" s="161">
        <v>248952</v>
      </c>
      <c r="D22" s="92">
        <v>2</v>
      </c>
      <c r="E22" s="84" t="s">
        <v>70</v>
      </c>
      <c r="F22" s="36" t="s">
        <v>244</v>
      </c>
      <c r="G22" s="37" t="s">
        <v>486</v>
      </c>
      <c r="H22" s="92">
        <v>2003</v>
      </c>
      <c r="I22" s="192" t="s">
        <v>141</v>
      </c>
      <c r="J22" s="35" t="s">
        <v>108</v>
      </c>
      <c r="K22" s="103">
        <v>57.24</v>
      </c>
      <c r="L22" s="38">
        <v>60</v>
      </c>
      <c r="M22" s="39">
        <v>63</v>
      </c>
      <c r="N22" s="39">
        <v>66</v>
      </c>
      <c r="O22" s="54">
        <f>IF(E22="","",IF(MAXA(L22:N22)&lt;=0,0,MAXA(L22:N22)))</f>
        <v>66</v>
      </c>
      <c r="P22" s="53">
        <v>76</v>
      </c>
      <c r="Q22" s="53">
        <v>-79</v>
      </c>
      <c r="R22" s="53">
        <v>79</v>
      </c>
      <c r="S22" s="54">
        <f>IF(E22="","",IF(MAXA(P22:R22)&lt;=0,0,MAXA(P22:R22)))</f>
        <v>79</v>
      </c>
      <c r="T22" s="55">
        <f>IF(E22="","",IF(OR(O22=0,S22=0),0,O22+S22))</f>
        <v>145</v>
      </c>
      <c r="U22" s="56" t="str">
        <f>+CONCATENATE(AM22," ",AN22)</f>
        <v>FED + 10</v>
      </c>
      <c r="V22" s="86" t="str">
        <f>IF(E22=0,"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>C1 62</v>
      </c>
      <c r="W22" s="62">
        <f>IF(E22=" "," ",IF(E22="H",10^(0.75194503*LOG(K22/175.508)^2)*T22,IF(E22="F",10^(0.783497476* LOG(K22/153.655)^2)*T22,"")))</f>
        <v>218.47977204960594</v>
      </c>
      <c r="X22" s="63"/>
      <c r="Y22" s="155" t="s">
        <v>441</v>
      </c>
      <c r="AB22" s="90">
        <f>T22-HLOOKUP(V22,Minimas!$C$1:$BN$10,2,FALSE)</f>
        <v>70</v>
      </c>
      <c r="AC22" s="90">
        <f>T22-HLOOKUP(V22,Minimas!$C$1:$BN$10,3,FALSE)</f>
        <v>50</v>
      </c>
      <c r="AD22" s="90">
        <f>T22-HLOOKUP(V22,Minimas!$C$1:$BN$10,4,FALSE)</f>
        <v>40</v>
      </c>
      <c r="AE22" s="90">
        <f>T22-HLOOKUP(V22,Minimas!$C$1:$BN$10,5,FALSE)</f>
        <v>25</v>
      </c>
      <c r="AF22" s="90">
        <f>T22-HLOOKUP(V22,Minimas!$C$1:$BN$10,6,FALSE)</f>
        <v>10</v>
      </c>
      <c r="AG22" s="90">
        <f>T22-HLOOKUP(V22,Minimas!$C$1:$BN$10,7,FALSE)</f>
        <v>-5</v>
      </c>
      <c r="AH22" s="90">
        <f>T22-HLOOKUP(V22,Minimas!$C$1:$BN$10,8,FALSE)</f>
        <v>-25</v>
      </c>
      <c r="AI22" s="90">
        <f>T22-HLOOKUP(V22,Minimas!$C$1:$BN$10,9,FALSE)</f>
        <v>-45</v>
      </c>
      <c r="AJ22" s="90">
        <f>T22-HLOOKUP(V22,Minimas!$C$1:$BN$10,10,FALSE)</f>
        <v>-855</v>
      </c>
      <c r="AK22" s="91" t="str">
        <f>IF(E22=0," ",IF(AJ22&gt;=0,$AJ$5,IF(AI22&gt;=0,$AI$5,IF(AH22&gt;=0,$AH$5,IF(AG22&gt;=0,$AG$5,IF(AF22&gt;=0,$AF$5,IF(AE22&gt;=0,$AE$5,IF(AD22&gt;=0,$AD$5,IF(AC22&gt;=0,$AC$5,$AB$5)))))))))</f>
        <v>FED +</v>
      </c>
      <c r="AM22" s="5" t="str">
        <f>IF(AK22="","",AK22)</f>
        <v>FED +</v>
      </c>
      <c r="AN22" s="5">
        <f>IF(E22=0," ",IF(AJ22&gt;=0,AJ22,IF(AI22&gt;=0,AI22,IF(AH22&gt;=0,AH22,IF(AG22&gt;=0,AG22,IF(AF22&gt;=0,AF22,IF(AE22&gt;=0,AE22,IF(AD22&gt;=0,AD22,IF(AC22&gt;=0,AC22,AB22)))))))))</f>
        <v>10</v>
      </c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</row>
    <row r="23" spans="1:123" s="5" customFormat="1" ht="27.95" customHeight="1" x14ac:dyDescent="0.2">
      <c r="B23" s="148" t="s">
        <v>122</v>
      </c>
      <c r="C23" s="161">
        <v>359944</v>
      </c>
      <c r="D23" s="92">
        <v>4</v>
      </c>
      <c r="E23" s="84" t="s">
        <v>70</v>
      </c>
      <c r="F23" s="36" t="s">
        <v>384</v>
      </c>
      <c r="G23" s="37" t="s">
        <v>526</v>
      </c>
      <c r="H23" s="92">
        <v>2003</v>
      </c>
      <c r="I23" s="192" t="s">
        <v>385</v>
      </c>
      <c r="J23" s="35" t="s">
        <v>108</v>
      </c>
      <c r="K23" s="103">
        <v>57.3</v>
      </c>
      <c r="L23" s="38">
        <v>-60</v>
      </c>
      <c r="M23" s="39">
        <v>60</v>
      </c>
      <c r="N23" s="39">
        <v>-64</v>
      </c>
      <c r="O23" s="54">
        <f>IF(E23="","",IF(MAXA(L23:N23)&lt;=0,0,MAXA(L23:N23)))</f>
        <v>60</v>
      </c>
      <c r="P23" s="53">
        <v>74</v>
      </c>
      <c r="Q23" s="53">
        <v>78</v>
      </c>
      <c r="R23" s="53">
        <v>-80</v>
      </c>
      <c r="S23" s="54">
        <f>IF(E23="","",IF(MAXA(P23:R23)&lt;=0,0,MAXA(P23:R23)))</f>
        <v>78</v>
      </c>
      <c r="T23" s="55">
        <f>IF(E23="","",IF(OR(O23=0,S23=0),0,O23+S23))</f>
        <v>138</v>
      </c>
      <c r="U23" s="56" t="str">
        <f>+CONCATENATE(AM23," ",AN23)</f>
        <v>FED + 3</v>
      </c>
      <c r="V23" s="86" t="str">
        <f>IF(E23=0,"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>C1 62</v>
      </c>
      <c r="W23" s="62">
        <f>IF(E23=" "," ",IF(E23="H",10^(0.75194503*LOG(K23/175.508)^2)*T23,IF(E23="F",10^(0.783497476* LOG(K23/153.655)^2)*T23,"")))</f>
        <v>207.77319217027653</v>
      </c>
      <c r="X23" s="63"/>
      <c r="Y23" s="156" t="s">
        <v>319</v>
      </c>
      <c r="AB23" s="90">
        <f>T23-HLOOKUP(V23,Minimas!$C$1:$BN$10,2,FALSE)</f>
        <v>63</v>
      </c>
      <c r="AC23" s="90">
        <f>T23-HLOOKUP(V23,Minimas!$C$1:$BN$10,3,FALSE)</f>
        <v>43</v>
      </c>
      <c r="AD23" s="90">
        <f>T23-HLOOKUP(V23,Minimas!$C$1:$BN$10,4,FALSE)</f>
        <v>33</v>
      </c>
      <c r="AE23" s="90">
        <f>T23-HLOOKUP(V23,Minimas!$C$1:$BN$10,5,FALSE)</f>
        <v>18</v>
      </c>
      <c r="AF23" s="90">
        <f>T23-HLOOKUP(V23,Minimas!$C$1:$BN$10,6,FALSE)</f>
        <v>3</v>
      </c>
      <c r="AG23" s="90">
        <f>T23-HLOOKUP(V23,Minimas!$C$1:$BN$10,7,FALSE)</f>
        <v>-12</v>
      </c>
      <c r="AH23" s="90">
        <f>T23-HLOOKUP(V23,Minimas!$C$1:$BN$10,8,FALSE)</f>
        <v>-32</v>
      </c>
      <c r="AI23" s="90">
        <f>T23-HLOOKUP(V23,Minimas!$C$1:$BN$10,9,FALSE)</f>
        <v>-52</v>
      </c>
      <c r="AJ23" s="90">
        <f>T23-HLOOKUP(V23,Minimas!$C$1:$BN$10,10,FALSE)</f>
        <v>-862</v>
      </c>
      <c r="AK23" s="91" t="str">
        <f>IF(E23=0," ",IF(AJ23&gt;=0,$AJ$5,IF(AI23&gt;=0,$AI$5,IF(AH23&gt;=0,$AH$5,IF(AG23&gt;=0,$AG$5,IF(AF23&gt;=0,$AF$5,IF(AE23&gt;=0,$AE$5,IF(AD23&gt;=0,$AD$5,IF(AC23&gt;=0,$AC$5,$AB$5)))))))))</f>
        <v>FED +</v>
      </c>
      <c r="AM23" s="5" t="str">
        <f>IF(AK23="","",AK23)</f>
        <v>FED +</v>
      </c>
      <c r="AN23" s="5">
        <f>IF(E23=0," ",IF(AJ23&gt;=0,AJ23,IF(AI23&gt;=0,AI23,IF(AH23&gt;=0,AH23,IF(AG23&gt;=0,AG23,IF(AF23&gt;=0,AF23,IF(AE23&gt;=0,AE23,IF(AD23&gt;=0,AD23,IF(AC23&gt;=0,AC23,AB23)))))))))</f>
        <v>3</v>
      </c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</row>
    <row r="24" spans="1:123" s="5" customFormat="1" ht="27.95" customHeight="1" thickBot="1" x14ac:dyDescent="0.25">
      <c r="B24" s="148" t="s">
        <v>128</v>
      </c>
      <c r="C24" s="161">
        <v>423616</v>
      </c>
      <c r="D24" s="92">
        <v>5</v>
      </c>
      <c r="E24" s="84" t="s">
        <v>70</v>
      </c>
      <c r="F24" s="36" t="s">
        <v>388</v>
      </c>
      <c r="G24" s="37" t="s">
        <v>389</v>
      </c>
      <c r="H24" s="92">
        <v>2003</v>
      </c>
      <c r="I24" s="192" t="s">
        <v>390</v>
      </c>
      <c r="J24" s="35" t="s">
        <v>108</v>
      </c>
      <c r="K24" s="103">
        <v>59.8</v>
      </c>
      <c r="L24" s="38">
        <v>55</v>
      </c>
      <c r="M24" s="39">
        <v>60</v>
      </c>
      <c r="N24" s="39">
        <v>62</v>
      </c>
      <c r="O24" s="54">
        <f>IF(E24="","",IF(MAXA(L24:N24)&lt;=0,0,MAXA(L24:N24)))</f>
        <v>62</v>
      </c>
      <c r="P24" s="53">
        <v>68</v>
      </c>
      <c r="Q24" s="53">
        <v>-73</v>
      </c>
      <c r="R24" s="53">
        <v>73</v>
      </c>
      <c r="S24" s="54">
        <f>IF(E24="","",IF(MAXA(P24:R24)&lt;=0,0,MAXA(P24:R24)))</f>
        <v>73</v>
      </c>
      <c r="T24" s="55">
        <f>IF(E24="","",IF(OR(O24=0,S24=0),0,O24+S24))</f>
        <v>135</v>
      </c>
      <c r="U24" s="56" t="str">
        <f>+CONCATENATE(AM24," ",AN24)</f>
        <v>FED + 0</v>
      </c>
      <c r="V24" s="86" t="str">
        <f>IF(E24=0,"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>C1 62</v>
      </c>
      <c r="W24" s="62">
        <f>IF(E24=" "," ",IF(E24="H",10^(0.75194503*LOG(K24/175.508)^2)*T24,IF(E24="F",10^(0.783497476* LOG(K24/153.655)^2)*T24,"")))</f>
        <v>197.12575440700505</v>
      </c>
      <c r="X24" s="63"/>
      <c r="Y24" s="156" t="s">
        <v>319</v>
      </c>
      <c r="AB24" s="90">
        <f>T24-HLOOKUP(V24,Minimas!$C$1:$BN$10,2,FALSE)</f>
        <v>60</v>
      </c>
      <c r="AC24" s="90">
        <f>T24-HLOOKUP(V24,Minimas!$C$1:$BN$10,3,FALSE)</f>
        <v>40</v>
      </c>
      <c r="AD24" s="90">
        <f>T24-HLOOKUP(V24,Minimas!$C$1:$BN$10,4,FALSE)</f>
        <v>30</v>
      </c>
      <c r="AE24" s="90">
        <f>T24-HLOOKUP(V24,Minimas!$C$1:$BN$10,5,FALSE)</f>
        <v>15</v>
      </c>
      <c r="AF24" s="90">
        <f>T24-HLOOKUP(V24,Minimas!$C$1:$BN$10,6,FALSE)</f>
        <v>0</v>
      </c>
      <c r="AG24" s="90">
        <f>T24-HLOOKUP(V24,Minimas!$C$1:$BN$10,7,FALSE)</f>
        <v>-15</v>
      </c>
      <c r="AH24" s="90">
        <f>T24-HLOOKUP(V24,Minimas!$C$1:$BN$10,8,FALSE)</f>
        <v>-35</v>
      </c>
      <c r="AI24" s="90">
        <f>T24-HLOOKUP(V24,Minimas!$C$1:$BN$10,9,FALSE)</f>
        <v>-55</v>
      </c>
      <c r="AJ24" s="90">
        <f>T24-HLOOKUP(V24,Minimas!$C$1:$BN$10,10,FALSE)</f>
        <v>-865</v>
      </c>
      <c r="AK24" s="91" t="str">
        <f>IF(E24=0," ",IF(AJ24&gt;=0,$AJ$5,IF(AI24&gt;=0,$AI$5,IF(AH24&gt;=0,$AH$5,IF(AG24&gt;=0,$AG$5,IF(AF24&gt;=0,$AF$5,IF(AE24&gt;=0,$AE$5,IF(AD24&gt;=0,$AD$5,IF(AC24&gt;=0,$AC$5,$AB$5)))))))))</f>
        <v>FED +</v>
      </c>
      <c r="AM24" s="5" t="str">
        <f>IF(AK24="","",AK24)</f>
        <v>FED +</v>
      </c>
      <c r="AN24" s="5">
        <f>IF(E24=0," ",IF(AJ24&gt;=0,AJ24,IF(AI24&gt;=0,AI24,IF(AH24&gt;=0,AH24,IF(AG24&gt;=0,AG24,IF(AF24&gt;=0,AF24,IF(AE24&gt;=0,AE24,IF(AD24&gt;=0,AD24,IF(AC24&gt;=0,AC24,AB24)))))))))</f>
        <v>0</v>
      </c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</row>
    <row r="25" spans="1:123" s="11" customFormat="1" ht="5.0999999999999996" customHeight="1" thickBot="1" x14ac:dyDescent="0.25">
      <c r="A25" s="8"/>
      <c r="B25" s="147"/>
      <c r="C25" s="160"/>
      <c r="D25" s="41"/>
      <c r="E25" s="41"/>
      <c r="F25" s="42"/>
      <c r="G25" s="43"/>
      <c r="H25" s="44"/>
      <c r="I25" s="193"/>
      <c r="J25" s="40"/>
      <c r="K25" s="101"/>
      <c r="L25" s="45"/>
      <c r="M25" s="45"/>
      <c r="N25" s="45"/>
      <c r="O25" s="46"/>
      <c r="P25" s="45"/>
      <c r="Q25" s="45"/>
      <c r="R25" s="45"/>
      <c r="S25" s="46"/>
      <c r="T25" s="46"/>
      <c r="U25" s="41"/>
      <c r="V25" s="48"/>
      <c r="W25" s="47"/>
      <c r="X25" s="7"/>
      <c r="Y25" s="154"/>
      <c r="Z25" s="7"/>
      <c r="AA25" s="7"/>
      <c r="AB25" s="89" t="s">
        <v>60</v>
      </c>
      <c r="AC25" s="89" t="s">
        <v>61</v>
      </c>
      <c r="AD25" s="89" t="s">
        <v>62</v>
      </c>
      <c r="AE25" s="89" t="s">
        <v>63</v>
      </c>
      <c r="AF25" s="89" t="s">
        <v>64</v>
      </c>
      <c r="AG25" s="89" t="s">
        <v>65</v>
      </c>
      <c r="AH25" s="89" t="s">
        <v>66</v>
      </c>
      <c r="AI25" s="89" t="s">
        <v>67</v>
      </c>
      <c r="AJ25" s="89" t="s">
        <v>68</v>
      </c>
      <c r="AK25" s="89"/>
      <c r="AL25" s="7"/>
      <c r="AM25" s="7"/>
      <c r="AN25" s="7"/>
      <c r="AO25" s="7"/>
      <c r="AP25" s="7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5" customFormat="1" ht="27.95" customHeight="1" thickBot="1" x14ac:dyDescent="0.25">
      <c r="B26" s="148" t="s">
        <v>134</v>
      </c>
      <c r="C26" s="161">
        <v>429331</v>
      </c>
      <c r="D26" s="92">
        <v>1</v>
      </c>
      <c r="E26" s="84" t="s">
        <v>70</v>
      </c>
      <c r="F26" s="36" t="s">
        <v>227</v>
      </c>
      <c r="G26" s="37" t="s">
        <v>401</v>
      </c>
      <c r="H26" s="92">
        <v>2004</v>
      </c>
      <c r="I26" s="192" t="s">
        <v>539</v>
      </c>
      <c r="J26" s="35" t="s">
        <v>108</v>
      </c>
      <c r="K26" s="103">
        <v>67.099999999999994</v>
      </c>
      <c r="L26" s="38">
        <v>65</v>
      </c>
      <c r="M26" s="39">
        <v>70</v>
      </c>
      <c r="N26" s="39">
        <v>73</v>
      </c>
      <c r="O26" s="54">
        <f t="shared" ref="O26" si="21">IF(E26="","",IF(MAXA(L26:N26)&lt;=0,0,MAXA(L26:N26)))</f>
        <v>73</v>
      </c>
      <c r="P26" s="53">
        <v>82</v>
      </c>
      <c r="Q26" s="53">
        <v>86</v>
      </c>
      <c r="R26" s="53">
        <v>-89</v>
      </c>
      <c r="S26" s="54">
        <f t="shared" ref="S26" si="22">IF(E26="","",IF(MAXA(P26:R26)&lt;=0,0,MAXA(P26:R26)))</f>
        <v>86</v>
      </c>
      <c r="T26" s="55">
        <f t="shared" ref="T26" si="23">IF(E26="","",IF(OR(O26=0,S26=0),0,O26+S26))</f>
        <v>159</v>
      </c>
      <c r="U26" s="56" t="str">
        <f t="shared" ref="U26" si="24">+CONCATENATE(AM26," ",AN26)</f>
        <v>FED + 9</v>
      </c>
      <c r="V26" s="86" t="str">
        <f>IF(E26=0," ",IF(E26="H",IF(OR(E26="SEN",H26&lt;1998),VLOOKUP(K26,Minimas!$A$11:$G$29,6),IF(AND(H26&gt;1997,H26&lt;2001),VLOOKUP(K26,Minimas!$A$11:$G$29,5),IF(AND(H26&gt;2000,H26&lt;2003),VLOOKUP(K26,Minimas!$A$11:$G$29,4),IF(AND(H26&gt;2002,H26&lt;2005),VLOOKUP(K26,Minimas!$A$11:$G$29,3),VLOOKUP(K26,Minimas!$A$11:$G$29,2))))),IF(OR(H26="SEN",H26&lt;1998),VLOOKUP(K26,Minimas!$G$11:$L$26,6),IF(AND(H26&gt;1997,H26&lt;2001),VLOOKUP(K26,Minimas!$G$11:$L$26,5),IF(AND(H26&gt;2000,H26&lt;2003),VLOOKUP(K26,Minimas!$G$11:$L$26,4),IF(AND(H26&gt;2002,H26&lt;2005),VLOOKUP(K26,Minimas!$G$11:$L$26,3),VLOOKUP(K26,Minimas!$G$11:$L$26,2)))))))</f>
        <v>C1 69</v>
      </c>
      <c r="W26" s="62">
        <f t="shared" ref="W26" si="25">IF(E26=" "," ",IF(E26="H",10^(0.75194503*LOG(K26/175.508)^2)*T26,IF(E26="F",10^(0.783497476* LOG(K26/153.655)^2)*T26,"")))</f>
        <v>215.03668624548345</v>
      </c>
      <c r="X26" s="63"/>
      <c r="Y26" s="157" t="s">
        <v>131</v>
      </c>
      <c r="AB26" s="90">
        <f>T26-HLOOKUP(V26,Minimas!$C$1:$BN$10,2,FALSE)</f>
        <v>74</v>
      </c>
      <c r="AC26" s="90">
        <f>T26-HLOOKUP(V26,Minimas!$C$1:$BN$10,3,FALSE)</f>
        <v>54</v>
      </c>
      <c r="AD26" s="90">
        <f>T26-HLOOKUP(V26,Minimas!$C$1:$BN$10,4,FALSE)</f>
        <v>44</v>
      </c>
      <c r="AE26" s="90">
        <f>T26-HLOOKUP(V26,Minimas!$C$1:$BN$10,5,FALSE)</f>
        <v>29</v>
      </c>
      <c r="AF26" s="90">
        <f>T26-HLOOKUP(V26,Minimas!$C$1:$BN$10,6,FALSE)</f>
        <v>9</v>
      </c>
      <c r="AG26" s="90">
        <f>T26-HLOOKUP(V26,Minimas!$C$1:$BN$10,7,FALSE)</f>
        <v>-11</v>
      </c>
      <c r="AH26" s="90">
        <f>T26-HLOOKUP(V26,Minimas!$C$1:$BN$10,8,FALSE)</f>
        <v>-31</v>
      </c>
      <c r="AI26" s="90">
        <f>T26-HLOOKUP(V26,Minimas!$C$1:$BN$10,9,FALSE)</f>
        <v>-51</v>
      </c>
      <c r="AJ26" s="90">
        <f>T26-HLOOKUP(V26,Minimas!$C$1:$BN$10,10,FALSE)</f>
        <v>-841</v>
      </c>
      <c r="AK26" s="91" t="str">
        <f>IF(E26=0," ",IF(AJ26&gt;=0,$AJ$5,IF(AI26&gt;=0,$AI$5,IF(AH26&gt;=0,$AH$5,IF(AG26&gt;=0,$AG$5,IF(AF26&gt;=0,$AF$5,IF(AE26&gt;=0,$AE$5,IF(AD26&gt;=0,$AD$5,IF(AC26&gt;=0,$AC$5,$AB$5)))))))))</f>
        <v>FED +</v>
      </c>
      <c r="AM26" s="5" t="str">
        <f t="shared" ref="AM26" si="26">IF(AK26="","",AK26)</f>
        <v>FED +</v>
      </c>
      <c r="AN26" s="5">
        <f t="shared" ref="AN26" si="27">IF(E26=0," ",IF(AJ26&gt;=0,AJ26,IF(AI26&gt;=0,AI26,IF(AH26&gt;=0,AH26,IF(AG26&gt;=0,AG26,IF(AF26&gt;=0,AF26,IF(AE26&gt;=0,AE26,IF(AD26&gt;=0,AD26,IF(AC26&gt;=0,AC26,AB26)))))))))</f>
        <v>9</v>
      </c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</row>
    <row r="27" spans="1:123" s="11" customFormat="1" ht="18" customHeight="1" x14ac:dyDescent="0.2">
      <c r="A27" s="8"/>
      <c r="B27" s="164"/>
      <c r="C27" s="165"/>
      <c r="D27" s="166"/>
      <c r="E27" s="166"/>
      <c r="F27" s="167"/>
      <c r="G27" s="168"/>
      <c r="H27" s="169"/>
      <c r="I27" s="170"/>
      <c r="J27" s="171"/>
      <c r="K27" s="172"/>
      <c r="L27" s="173"/>
      <c r="M27" s="173"/>
      <c r="N27" s="173"/>
      <c r="O27" s="174"/>
      <c r="P27" s="173"/>
      <c r="Q27" s="173"/>
      <c r="R27" s="173"/>
      <c r="S27" s="174"/>
      <c r="T27" s="174"/>
      <c r="U27" s="166"/>
      <c r="V27" s="175"/>
      <c r="W27" s="176"/>
      <c r="X27" s="7"/>
      <c r="Y27" s="177"/>
      <c r="Z27" s="7"/>
      <c r="AA27" s="7"/>
      <c r="AB27" s="89" t="s">
        <v>60</v>
      </c>
      <c r="AC27" s="89" t="s">
        <v>61</v>
      </c>
      <c r="AD27" s="89" t="s">
        <v>62</v>
      </c>
      <c r="AE27" s="89" t="s">
        <v>63</v>
      </c>
      <c r="AF27" s="89" t="s">
        <v>64</v>
      </c>
      <c r="AG27" s="89" t="s">
        <v>65</v>
      </c>
      <c r="AH27" s="89" t="s">
        <v>66</v>
      </c>
      <c r="AI27" s="89" t="s">
        <v>67</v>
      </c>
      <c r="AJ27" s="89" t="s">
        <v>68</v>
      </c>
      <c r="AK27" s="89"/>
      <c r="AL27" s="7"/>
      <c r="AM27" s="7"/>
      <c r="AN27" s="7"/>
      <c r="AO27" s="7"/>
      <c r="AP27" s="7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</row>
    <row r="28" spans="1:123" s="5" customFormat="1" ht="27.95" customHeight="1" x14ac:dyDescent="0.2">
      <c r="B28" s="227" t="s">
        <v>116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5" t="str">
        <f t="shared" ref="Z28" si="28">IF(P28=0," ",MAXA(P28+Q28,Q28+R28,P28+R28))</f>
        <v xml:space="preserve"> </v>
      </c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</row>
    <row r="29" spans="1:123" s="11" customFormat="1" ht="5.0999999999999996" customHeight="1" thickBot="1" x14ac:dyDescent="0.25">
      <c r="A29" s="8"/>
      <c r="B29" s="178"/>
      <c r="C29" s="179"/>
      <c r="D29" s="180"/>
      <c r="E29" s="180"/>
      <c r="F29" s="181"/>
      <c r="G29" s="182"/>
      <c r="H29" s="183"/>
      <c r="I29" s="184"/>
      <c r="J29" s="185"/>
      <c r="K29" s="186"/>
      <c r="L29" s="187"/>
      <c r="M29" s="187"/>
      <c r="N29" s="187"/>
      <c r="O29" s="188"/>
      <c r="P29" s="187"/>
      <c r="Q29" s="187"/>
      <c r="R29" s="187"/>
      <c r="S29" s="188"/>
      <c r="T29" s="188"/>
      <c r="U29" s="180"/>
      <c r="V29" s="189"/>
      <c r="W29" s="190"/>
      <c r="X29" s="7"/>
      <c r="Y29" s="191"/>
      <c r="Z29" s="7"/>
      <c r="AA29" s="7"/>
      <c r="AB29" s="89" t="s">
        <v>60</v>
      </c>
      <c r="AC29" s="89" t="s">
        <v>61</v>
      </c>
      <c r="AD29" s="89" t="s">
        <v>62</v>
      </c>
      <c r="AE29" s="89" t="s">
        <v>63</v>
      </c>
      <c r="AF29" s="89" t="s">
        <v>64</v>
      </c>
      <c r="AG29" s="89" t="s">
        <v>65</v>
      </c>
      <c r="AH29" s="89" t="s">
        <v>66</v>
      </c>
      <c r="AI29" s="89" t="s">
        <v>67</v>
      </c>
      <c r="AJ29" s="89" t="s">
        <v>68</v>
      </c>
      <c r="AK29" s="89"/>
      <c r="AL29" s="7"/>
      <c r="AM29" s="7"/>
      <c r="AN29" s="7"/>
      <c r="AO29" s="7"/>
      <c r="AP29" s="7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</row>
    <row r="30" spans="1:123" s="20" customFormat="1" ht="18" customHeight="1" thickBot="1" x14ac:dyDescent="0.25">
      <c r="A30" s="17"/>
      <c r="B30" s="146" t="s">
        <v>8</v>
      </c>
      <c r="C30" s="153" t="s">
        <v>9</v>
      </c>
      <c r="D30" s="142" t="s">
        <v>6</v>
      </c>
      <c r="E30" s="142" t="s">
        <v>69</v>
      </c>
      <c r="F30" s="210" t="s">
        <v>0</v>
      </c>
      <c r="G30" s="210"/>
      <c r="H30" s="142" t="s">
        <v>11</v>
      </c>
      <c r="I30" s="142" t="s">
        <v>10</v>
      </c>
      <c r="J30" s="64" t="s">
        <v>5</v>
      </c>
      <c r="K30" s="64" t="s">
        <v>1</v>
      </c>
      <c r="L30" s="22">
        <v>1</v>
      </c>
      <c r="M30" s="23">
        <v>2</v>
      </c>
      <c r="N30" s="23">
        <v>3</v>
      </c>
      <c r="O30" s="24" t="s">
        <v>12</v>
      </c>
      <c r="P30" s="22">
        <v>1</v>
      </c>
      <c r="Q30" s="23">
        <v>2</v>
      </c>
      <c r="R30" s="23">
        <v>3</v>
      </c>
      <c r="S30" s="24" t="s">
        <v>13</v>
      </c>
      <c r="T30" s="25" t="s">
        <v>2</v>
      </c>
      <c r="U30" s="64" t="s">
        <v>3</v>
      </c>
      <c r="V30" s="64" t="s">
        <v>7</v>
      </c>
      <c r="W30" s="21" t="s">
        <v>4</v>
      </c>
      <c r="X30" s="61"/>
      <c r="Y30" s="153" t="s">
        <v>313</v>
      </c>
      <c r="Z30" s="18"/>
      <c r="AA30" s="18"/>
      <c r="AB30" s="87" t="s">
        <v>107</v>
      </c>
      <c r="AC30" s="87" t="s">
        <v>106</v>
      </c>
      <c r="AD30" s="87" t="s">
        <v>62</v>
      </c>
      <c r="AE30" s="87" t="s">
        <v>63</v>
      </c>
      <c r="AF30" s="87" t="s">
        <v>64</v>
      </c>
      <c r="AG30" s="87" t="s">
        <v>65</v>
      </c>
      <c r="AH30" s="87" t="s">
        <v>66</v>
      </c>
      <c r="AI30" s="87" t="s">
        <v>67</v>
      </c>
      <c r="AJ30" s="87" t="s">
        <v>68</v>
      </c>
      <c r="AK30" s="88"/>
      <c r="AL30" s="19"/>
      <c r="AM30" s="19"/>
      <c r="AN30" s="19"/>
      <c r="AO30" s="19"/>
      <c r="AP30" s="19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</row>
    <row r="31" spans="1:123" s="11" customFormat="1" ht="5.0999999999999996" customHeight="1" thickBot="1" x14ac:dyDescent="0.25">
      <c r="A31" s="8"/>
      <c r="B31" s="147"/>
      <c r="C31" s="160"/>
      <c r="D31" s="41"/>
      <c r="E31" s="41"/>
      <c r="F31" s="42"/>
      <c r="G31" s="43"/>
      <c r="H31" s="44"/>
      <c r="I31" s="193"/>
      <c r="J31" s="40"/>
      <c r="K31" s="101"/>
      <c r="L31" s="45"/>
      <c r="M31" s="45"/>
      <c r="N31" s="45"/>
      <c r="O31" s="46"/>
      <c r="P31" s="45"/>
      <c r="Q31" s="45"/>
      <c r="R31" s="45"/>
      <c r="S31" s="46"/>
      <c r="T31" s="46"/>
      <c r="U31" s="41"/>
      <c r="V31" s="48"/>
      <c r="W31" s="47"/>
      <c r="X31" s="7"/>
      <c r="Y31" s="154"/>
      <c r="Z31" s="7"/>
      <c r="AA31" s="7"/>
      <c r="AB31" s="89" t="s">
        <v>60</v>
      </c>
      <c r="AC31" s="89" t="s">
        <v>61</v>
      </c>
      <c r="AD31" s="89" t="s">
        <v>62</v>
      </c>
      <c r="AE31" s="89" t="s">
        <v>63</v>
      </c>
      <c r="AF31" s="89" t="s">
        <v>64</v>
      </c>
      <c r="AG31" s="89" t="s">
        <v>65</v>
      </c>
      <c r="AH31" s="89" t="s">
        <v>66</v>
      </c>
      <c r="AI31" s="89" t="s">
        <v>67</v>
      </c>
      <c r="AJ31" s="89" t="s">
        <v>68</v>
      </c>
      <c r="AK31" s="89"/>
      <c r="AL31" s="7"/>
      <c r="AM31" s="7"/>
      <c r="AN31" s="7"/>
      <c r="AO31" s="7"/>
      <c r="AP31" s="7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</row>
    <row r="32" spans="1:123" s="5" customFormat="1" ht="27.95" customHeight="1" x14ac:dyDescent="0.2">
      <c r="B32" s="148" t="s">
        <v>138</v>
      </c>
      <c r="C32" s="161">
        <v>355921</v>
      </c>
      <c r="D32" s="92">
        <v>1</v>
      </c>
      <c r="E32" s="84" t="s">
        <v>70</v>
      </c>
      <c r="F32" s="36" t="s">
        <v>143</v>
      </c>
      <c r="G32" s="37" t="s">
        <v>485</v>
      </c>
      <c r="H32" s="92">
        <v>2002</v>
      </c>
      <c r="I32" s="192" t="s">
        <v>541</v>
      </c>
      <c r="J32" s="35" t="s">
        <v>108</v>
      </c>
      <c r="K32" s="103">
        <v>55.68</v>
      </c>
      <c r="L32" s="38">
        <v>60</v>
      </c>
      <c r="M32" s="39">
        <v>63</v>
      </c>
      <c r="N32" s="39">
        <v>-66</v>
      </c>
      <c r="O32" s="54">
        <f t="shared" ref="O32" si="29">IF(E32="","",IF(MAXA(L32:N32)&lt;=0,0,MAXA(L32:N32)))</f>
        <v>63</v>
      </c>
      <c r="P32" s="53">
        <v>77</v>
      </c>
      <c r="Q32" s="53">
        <v>-80</v>
      </c>
      <c r="R32" s="53">
        <v>80</v>
      </c>
      <c r="S32" s="54">
        <f t="shared" ref="S32" si="30">IF(E32="","",IF(MAXA(P32:R32)&lt;=0,0,MAXA(P32:R32)))</f>
        <v>80</v>
      </c>
      <c r="T32" s="55">
        <f t="shared" ref="T32" si="31">IF(E32="","",IF(OR(O32=0,S32=0),0,O32+S32))</f>
        <v>143</v>
      </c>
      <c r="U32" s="56" t="str">
        <f t="shared" ref="U32" si="32">+CONCATENATE(AM32," ",AN32)</f>
        <v>FED + 13</v>
      </c>
      <c r="V32" s="86" t="str">
        <f>IF(E32=0," ",IF(E32="H",IF(OR(E32="SEN",H32&lt;1998),VLOOKUP(K32,Minimas!$A$11:$G$29,6),IF(AND(H32&gt;1997,H32&lt;2001),VLOOKUP(K32,Minimas!$A$11:$G$29,5),IF(AND(H32&gt;2000,H32&lt;2003),VLOOKUP(K32,Minimas!$A$11:$G$29,4),IF(AND(H32&gt;2002,H32&lt;2005),VLOOKUP(K32,Minimas!$A$11:$G$29,3),VLOOKUP(K32,Minimas!$A$11:$G$29,2))))),IF(OR(H32="SEN",H32&lt;1998),VLOOKUP(K32,Minimas!$G$11:$L$26,6),IF(AND(H32&gt;1997,H32&lt;2001),VLOOKUP(K32,Minimas!$G$11:$L$26,5),IF(AND(H32&gt;2000,H32&lt;2003),VLOOKUP(K32,Minimas!$G$11:$L$26,4),IF(AND(H32&gt;2002,H32&lt;2005),VLOOKUP(K32,Minimas!$G$11:$L$26,3),VLOOKUP(K32,Minimas!$G$11:$L$26,2)))))))</f>
        <v>C2 56</v>
      </c>
      <c r="W32" s="62">
        <f t="shared" ref="W32" si="33">IF(E32=" "," ",IF(E32="H",10^(0.75194503*LOG(K32/175.508)^2)*T32,IF(E32="F",10^(0.783497476* LOG(K32/153.655)^2)*T32,"")))</f>
        <v>219.92232292973043</v>
      </c>
      <c r="X32" s="63"/>
      <c r="Y32" s="155" t="s">
        <v>441</v>
      </c>
      <c r="AB32" s="90">
        <f>T32-HLOOKUP(V32,Minimas!$C$1:$BN$10,2,FALSE)</f>
        <v>78</v>
      </c>
      <c r="AC32" s="90">
        <f>T32-HLOOKUP(V32,Minimas!$C$1:$BN$10,3,FALSE)</f>
        <v>58</v>
      </c>
      <c r="AD32" s="90">
        <f>T32-HLOOKUP(V32,Minimas!$C$1:$BN$10,4,FALSE)</f>
        <v>43</v>
      </c>
      <c r="AE32" s="90">
        <f>T32-HLOOKUP(V32,Minimas!$C$1:$BN$10,5,FALSE)</f>
        <v>28</v>
      </c>
      <c r="AF32" s="90">
        <f>T32-HLOOKUP(V32,Minimas!$C$1:$BN$10,6,FALSE)</f>
        <v>13</v>
      </c>
      <c r="AG32" s="90">
        <f>T32-HLOOKUP(V32,Minimas!$C$1:$BN$10,7,FALSE)</f>
        <v>-2</v>
      </c>
      <c r="AH32" s="90">
        <f>T32-HLOOKUP(V32,Minimas!$C$1:$BN$10,8,FALSE)</f>
        <v>-27</v>
      </c>
      <c r="AI32" s="90">
        <f>T32-HLOOKUP(V32,Minimas!$C$1:$BN$10,9,FALSE)</f>
        <v>-47</v>
      </c>
      <c r="AJ32" s="90">
        <f>T32-HLOOKUP(V32,Minimas!$C$1:$BN$10,10,FALSE)</f>
        <v>-857</v>
      </c>
      <c r="AK32" s="91" t="str">
        <f>IF(E32=0," ",IF(AJ32&gt;=0,$AJ$5,IF(AI32&gt;=0,$AI$5,IF(AH32&gt;=0,$AH$5,IF(AG32&gt;=0,$AG$5,IF(AF32&gt;=0,$AF$5,IF(AE32&gt;=0,$AE$5,IF(AD32&gt;=0,$AD$5,IF(AC32&gt;=0,$AC$5,$AB$5)))))))))</f>
        <v>FED +</v>
      </c>
      <c r="AM32" s="5" t="str">
        <f t="shared" ref="AM32" si="34">IF(AK32="","",AK32)</f>
        <v>FED +</v>
      </c>
      <c r="AN32" s="5">
        <f t="shared" ref="AN32" si="35">IF(E32=0," ",IF(AJ32&gt;=0,AJ32,IF(AI32&gt;=0,AI32,IF(AH32&gt;=0,AH32,IF(AG32&gt;=0,AG32,IF(AF32&gt;=0,AF32,IF(AE32&gt;=0,AE32,IF(AD32&gt;=0,AD32,IF(AC32&gt;=0,AC32,AB32)))))))))</f>
        <v>13</v>
      </c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</row>
    <row r="33" spans="1:123" s="5" customFormat="1" ht="27.95" customHeight="1" x14ac:dyDescent="0.2">
      <c r="B33" s="148" t="s">
        <v>128</v>
      </c>
      <c r="C33" s="161">
        <v>421956</v>
      </c>
      <c r="D33" s="92">
        <v>2</v>
      </c>
      <c r="E33" s="84" t="s">
        <v>70</v>
      </c>
      <c r="F33" s="36" t="s">
        <v>487</v>
      </c>
      <c r="G33" s="37" t="s">
        <v>488</v>
      </c>
      <c r="H33" s="92">
        <v>2001</v>
      </c>
      <c r="I33" s="192" t="s">
        <v>489</v>
      </c>
      <c r="J33" s="35" t="s">
        <v>108</v>
      </c>
      <c r="K33" s="103">
        <v>55.22</v>
      </c>
      <c r="L33" s="38">
        <v>-58</v>
      </c>
      <c r="M33" s="39">
        <v>58</v>
      </c>
      <c r="N33" s="39">
        <v>-62</v>
      </c>
      <c r="O33" s="54">
        <f t="shared" ref="O33" si="36">IF(E33="","",IF(MAXA(L33:N33)&lt;=0,0,MAXA(L33:N33)))</f>
        <v>58</v>
      </c>
      <c r="P33" s="53">
        <v>72</v>
      </c>
      <c r="Q33" s="53">
        <v>-76</v>
      </c>
      <c r="R33" s="53">
        <v>-76</v>
      </c>
      <c r="S33" s="54">
        <f t="shared" ref="S33" si="37">IF(E33="","",IF(MAXA(P33:R33)&lt;=0,0,MAXA(P33:R33)))</f>
        <v>72</v>
      </c>
      <c r="T33" s="55">
        <f t="shared" ref="T33" si="38">IF(E33="","",IF(OR(O33=0,S33=0),0,O33+S33))</f>
        <v>130</v>
      </c>
      <c r="U33" s="56" t="str">
        <f t="shared" ref="U33" si="39">+CONCATENATE(AM33," ",AN33)</f>
        <v>FED + 0</v>
      </c>
      <c r="V33" s="86" t="str">
        <f>IF(E33=0," ",IF(E33="H",IF(OR(E33="SEN",H33&lt;1998),VLOOKUP(K33,Minimas!$A$11:$G$29,6),IF(AND(H33&gt;1997,H33&lt;2001),VLOOKUP(K33,Minimas!$A$11:$G$29,5),IF(AND(H33&gt;2000,H33&lt;2003),VLOOKUP(K33,Minimas!$A$11:$G$29,4),IF(AND(H33&gt;2002,H33&lt;2005),VLOOKUP(K33,Minimas!$A$11:$G$29,3),VLOOKUP(K33,Minimas!$A$11:$G$29,2))))),IF(OR(H33="SEN",H33&lt;1998),VLOOKUP(K33,Minimas!$G$11:$L$26,6),IF(AND(H33&gt;1997,H33&lt;2001),VLOOKUP(K33,Minimas!$G$11:$L$26,5),IF(AND(H33&gt;2000,H33&lt;2003),VLOOKUP(K33,Minimas!$G$11:$L$26,4),IF(AND(H33&gt;2002,H33&lt;2005),VLOOKUP(K33,Minimas!$G$11:$L$26,3),VLOOKUP(K33,Minimas!$G$11:$L$26,2)))))))</f>
        <v>C2 56</v>
      </c>
      <c r="W33" s="62">
        <f t="shared" ref="W33" si="40">IF(E33=" "," ",IF(E33="H",10^(0.75194503*LOG(K33/175.508)^2)*T33,IF(E33="F",10^(0.783497476* LOG(K33/153.655)^2)*T33,"")))</f>
        <v>201.18144223347937</v>
      </c>
      <c r="X33" s="63"/>
      <c r="Y33" s="155" t="s">
        <v>441</v>
      </c>
      <c r="AB33" s="90">
        <f>T33-HLOOKUP(V33,Minimas!$C$1:$BN$10,2,FALSE)</f>
        <v>65</v>
      </c>
      <c r="AC33" s="90">
        <f>T33-HLOOKUP(V33,Minimas!$C$1:$BN$10,3,FALSE)</f>
        <v>45</v>
      </c>
      <c r="AD33" s="90">
        <f>T33-HLOOKUP(V33,Minimas!$C$1:$BN$10,4,FALSE)</f>
        <v>30</v>
      </c>
      <c r="AE33" s="90">
        <f>T33-HLOOKUP(V33,Minimas!$C$1:$BN$10,5,FALSE)</f>
        <v>15</v>
      </c>
      <c r="AF33" s="90">
        <f>T33-HLOOKUP(V33,Minimas!$C$1:$BN$10,6,FALSE)</f>
        <v>0</v>
      </c>
      <c r="AG33" s="90">
        <f>T33-HLOOKUP(V33,Minimas!$C$1:$BN$10,7,FALSE)</f>
        <v>-15</v>
      </c>
      <c r="AH33" s="90">
        <f>T33-HLOOKUP(V33,Minimas!$C$1:$BN$10,8,FALSE)</f>
        <v>-40</v>
      </c>
      <c r="AI33" s="90">
        <f>T33-HLOOKUP(V33,Minimas!$C$1:$BN$10,9,FALSE)</f>
        <v>-60</v>
      </c>
      <c r="AJ33" s="90">
        <f>T33-HLOOKUP(V33,Minimas!$C$1:$BN$10,10,FALSE)</f>
        <v>-870</v>
      </c>
      <c r="AK33" s="91" t="str">
        <f>IF(E33=0," ",IF(AJ33&gt;=0,$AJ$5,IF(AI33&gt;=0,$AI$5,IF(AH33&gt;=0,$AH$5,IF(AG33&gt;=0,$AG$5,IF(AF33&gt;=0,$AF$5,IF(AE33&gt;=0,$AE$5,IF(AD33&gt;=0,$AD$5,IF(AC33&gt;=0,$AC$5,$AB$5)))))))))</f>
        <v>FED +</v>
      </c>
      <c r="AM33" s="5" t="str">
        <f t="shared" ref="AM33" si="41">IF(AK33="","",AK33)</f>
        <v>FED +</v>
      </c>
      <c r="AN33" s="5">
        <f t="shared" ref="AN33" si="42">IF(E33=0," ",IF(AJ33&gt;=0,AJ33,IF(AI33&gt;=0,AI33,IF(AH33&gt;=0,AH33,IF(AG33&gt;=0,AG33,IF(AF33&gt;=0,AF33,IF(AE33&gt;=0,AE33,IF(AD33&gt;=0,AD33,IF(AC33&gt;=0,AC33,AB33)))))))))</f>
        <v>0</v>
      </c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</row>
    <row r="34" spans="1:123" s="5" customFormat="1" ht="27.95" customHeight="1" thickBot="1" x14ac:dyDescent="0.25">
      <c r="B34" s="148" t="s">
        <v>138</v>
      </c>
      <c r="C34" s="161">
        <v>421305</v>
      </c>
      <c r="D34" s="92">
        <v>3</v>
      </c>
      <c r="E34" s="84" t="s">
        <v>70</v>
      </c>
      <c r="F34" s="36" t="s">
        <v>228</v>
      </c>
      <c r="G34" s="37" t="s">
        <v>530</v>
      </c>
      <c r="H34" s="92">
        <v>2002</v>
      </c>
      <c r="I34" s="192" t="s">
        <v>542</v>
      </c>
      <c r="J34" s="35" t="s">
        <v>108</v>
      </c>
      <c r="K34" s="103">
        <v>53.2</v>
      </c>
      <c r="L34" s="38">
        <v>50</v>
      </c>
      <c r="M34" s="39">
        <v>53</v>
      </c>
      <c r="N34" s="39">
        <v>55</v>
      </c>
      <c r="O34" s="54">
        <f t="shared" ref="O34:O164" si="43">IF(E34="","",IF(MAXA(L34:N34)&lt;=0,0,MAXA(L34:N34)))</f>
        <v>55</v>
      </c>
      <c r="P34" s="53">
        <v>70</v>
      </c>
      <c r="Q34" s="53">
        <v>-75</v>
      </c>
      <c r="R34" s="53">
        <v>75</v>
      </c>
      <c r="S34" s="54">
        <f t="shared" ref="S34:S164" si="44">IF(E34="","",IF(MAXA(P34:R34)&lt;=0,0,MAXA(P34:R34)))</f>
        <v>75</v>
      </c>
      <c r="T34" s="55">
        <f t="shared" ref="T34:T164" si="45">IF(E34="","",IF(OR(O34=0,S34=0),0,O34+S34))</f>
        <v>130</v>
      </c>
      <c r="U34" s="56" t="str">
        <f t="shared" ref="U34:U164" si="46">+CONCATENATE(AM34," ",AN34)</f>
        <v>FED + 0</v>
      </c>
      <c r="V34" s="86" t="str">
        <f>IF(E34=0," ",IF(E34="H",IF(OR(E34="SEN",H34&lt;1998),VLOOKUP(K34,Minimas!$A$11:$G$29,6),IF(AND(H34&gt;1997,H34&lt;2001),VLOOKUP(K34,Minimas!$A$11:$G$29,5),IF(AND(H34&gt;2000,H34&lt;2003),VLOOKUP(K34,Minimas!$A$11:$G$29,4),IF(AND(H34&gt;2002,H34&lt;2005),VLOOKUP(K34,Minimas!$A$11:$G$29,3),VLOOKUP(K34,Minimas!$A$11:$G$29,2))))),IF(OR(H34="SEN",H34&lt;1998),VLOOKUP(K34,Minimas!$G$11:$L$26,6),IF(AND(H34&gt;1997,H34&lt;2001),VLOOKUP(K34,Minimas!$G$11:$L$26,5),IF(AND(H34&gt;2000,H34&lt;2003),VLOOKUP(K34,Minimas!$G$11:$L$26,4),IF(AND(H34&gt;2002,H34&lt;2005),VLOOKUP(K34,Minimas!$G$11:$L$26,3),VLOOKUP(K34,Minimas!$G$11:$L$26,2)))))))</f>
        <v>C2 56</v>
      </c>
      <c r="W34" s="62">
        <f t="shared" ref="W34:W164" si="47">IF(E34=" "," ",IF(E34="H",10^(0.75194503*LOG(K34/175.508)^2)*T34,IF(E34="F",10^(0.783497476* LOG(K34/153.655)^2)*T34,"")))</f>
        <v>207.01818894751415</v>
      </c>
      <c r="X34" s="63"/>
      <c r="Y34" s="157" t="s">
        <v>131</v>
      </c>
      <c r="AB34" s="90">
        <f>T34-HLOOKUP(V34,Minimas!$C$1:$BN$10,2,FALSE)</f>
        <v>65</v>
      </c>
      <c r="AC34" s="90">
        <f>T34-HLOOKUP(V34,Minimas!$C$1:$BN$10,3,FALSE)</f>
        <v>45</v>
      </c>
      <c r="AD34" s="90">
        <f>T34-HLOOKUP(V34,Minimas!$C$1:$BN$10,4,FALSE)</f>
        <v>30</v>
      </c>
      <c r="AE34" s="90">
        <f>T34-HLOOKUP(V34,Minimas!$C$1:$BN$10,5,FALSE)</f>
        <v>15</v>
      </c>
      <c r="AF34" s="90">
        <f>T34-HLOOKUP(V34,Minimas!$C$1:$BN$10,6,FALSE)</f>
        <v>0</v>
      </c>
      <c r="AG34" s="90">
        <f>T34-HLOOKUP(V34,Minimas!$C$1:$BN$10,7,FALSE)</f>
        <v>-15</v>
      </c>
      <c r="AH34" s="90">
        <f>T34-HLOOKUP(V34,Minimas!$C$1:$BN$10,8,FALSE)</f>
        <v>-40</v>
      </c>
      <c r="AI34" s="90">
        <f>T34-HLOOKUP(V34,Minimas!$C$1:$BN$10,9,FALSE)</f>
        <v>-60</v>
      </c>
      <c r="AJ34" s="90">
        <f>T34-HLOOKUP(V34,Minimas!$C$1:$BN$10,10,FALSE)</f>
        <v>-870</v>
      </c>
      <c r="AK34" s="91" t="str">
        <f>IF(E34=0," ",IF(AJ34&gt;=0,$AJ$5,IF(AI34&gt;=0,$AI$5,IF(AH34&gt;=0,$AH$5,IF(AG34&gt;=0,$AG$5,IF(AF34&gt;=0,$AF$5,IF(AE34&gt;=0,$AE$5,IF(AD34&gt;=0,$AD$5,IF(AC34&gt;=0,$AC$5,$AB$5)))))))))</f>
        <v>FED +</v>
      </c>
      <c r="AM34" s="5" t="str">
        <f t="shared" ref="AM34:AM164" si="48">IF(AK34="","",AK34)</f>
        <v>FED +</v>
      </c>
      <c r="AN34" s="5">
        <f t="shared" ref="AN34:AN164" si="49">IF(E34=0," ",IF(AJ34&gt;=0,AJ34,IF(AI34&gt;=0,AI34,IF(AH34&gt;=0,AH34,IF(AG34&gt;=0,AG34,IF(AF34&gt;=0,AF34,IF(AE34&gt;=0,AE34,IF(AD34&gt;=0,AD34,IF(AC34&gt;=0,AC34,AB34)))))))))</f>
        <v>0</v>
      </c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</row>
    <row r="35" spans="1:123" s="11" customFormat="1" ht="5.0999999999999996" customHeight="1" thickBot="1" x14ac:dyDescent="0.25">
      <c r="A35" s="8"/>
      <c r="B35" s="147"/>
      <c r="C35" s="160"/>
      <c r="D35" s="41"/>
      <c r="E35" s="41"/>
      <c r="F35" s="42"/>
      <c r="G35" s="43"/>
      <c r="H35" s="44"/>
      <c r="I35" s="193"/>
      <c r="J35" s="40"/>
      <c r="K35" s="101"/>
      <c r="L35" s="45"/>
      <c r="M35" s="45"/>
      <c r="N35" s="45"/>
      <c r="O35" s="46"/>
      <c r="P35" s="45"/>
      <c r="Q35" s="45"/>
      <c r="R35" s="45"/>
      <c r="S35" s="46"/>
      <c r="T35" s="46"/>
      <c r="U35" s="41"/>
      <c r="V35" s="48"/>
      <c r="W35" s="47"/>
      <c r="X35" s="7"/>
      <c r="Y35" s="154"/>
      <c r="Z35" s="7"/>
      <c r="AA35" s="7"/>
      <c r="AB35" s="89" t="s">
        <v>60</v>
      </c>
      <c r="AC35" s="89" t="s">
        <v>61</v>
      </c>
      <c r="AD35" s="89" t="s">
        <v>62</v>
      </c>
      <c r="AE35" s="89" t="s">
        <v>63</v>
      </c>
      <c r="AF35" s="89" t="s">
        <v>64</v>
      </c>
      <c r="AG35" s="89" t="s">
        <v>65</v>
      </c>
      <c r="AH35" s="89" t="s">
        <v>66</v>
      </c>
      <c r="AI35" s="89" t="s">
        <v>67</v>
      </c>
      <c r="AJ35" s="89" t="s">
        <v>68</v>
      </c>
      <c r="AK35" s="89"/>
      <c r="AL35" s="7"/>
      <c r="AM35" s="7"/>
      <c r="AN35" s="7"/>
      <c r="AO35" s="7"/>
      <c r="AP35" s="7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</row>
    <row r="36" spans="1:123" s="5" customFormat="1" ht="27.95" customHeight="1" thickBot="1" x14ac:dyDescent="0.25">
      <c r="B36" s="148" t="s">
        <v>123</v>
      </c>
      <c r="C36" s="161">
        <v>341767</v>
      </c>
      <c r="D36" s="92">
        <v>1</v>
      </c>
      <c r="E36" s="84" t="s">
        <v>70</v>
      </c>
      <c r="F36" s="36" t="s">
        <v>229</v>
      </c>
      <c r="G36" s="37" t="s">
        <v>531</v>
      </c>
      <c r="H36" s="92">
        <v>2001</v>
      </c>
      <c r="I36" s="192" t="s">
        <v>139</v>
      </c>
      <c r="J36" s="35" t="s">
        <v>108</v>
      </c>
      <c r="K36" s="103">
        <v>61.1</v>
      </c>
      <c r="L36" s="38">
        <v>63</v>
      </c>
      <c r="M36" s="39">
        <v>66</v>
      </c>
      <c r="N36" s="39">
        <v>69</v>
      </c>
      <c r="O36" s="54">
        <f t="shared" ref="O36:O45" si="50">IF(E36="","",IF(MAXA(L36:N36)&lt;=0,0,MAXA(L36:N36)))</f>
        <v>69</v>
      </c>
      <c r="P36" s="53">
        <v>81</v>
      </c>
      <c r="Q36" s="53">
        <v>85</v>
      </c>
      <c r="R36" s="53">
        <v>-88</v>
      </c>
      <c r="S36" s="54">
        <f t="shared" ref="S36:S45" si="51">IF(E36="","",IF(MAXA(P36:R36)&lt;=0,0,MAXA(P36:R36)))</f>
        <v>85</v>
      </c>
      <c r="T36" s="55">
        <f t="shared" ref="T36:T45" si="52">IF(E36="","",IF(OR(O36=0,S36=0),0,O36+S36))</f>
        <v>154</v>
      </c>
      <c r="U36" s="56" t="str">
        <f t="shared" ref="U36:U45" si="53">+CONCATENATE(AM36," ",AN36)</f>
        <v>FED + 4</v>
      </c>
      <c r="V36" s="86" t="str">
        <f>IF(E36=0," ",IF(E36="H",IF(OR(E36="SEN",H36&lt;1998),VLOOKUP(K36,Minimas!$A$11:$G$29,6),IF(AND(H36&gt;1997,H36&lt;2001),VLOOKUP(K36,Minimas!$A$11:$G$29,5),IF(AND(H36&gt;2000,H36&lt;2003),VLOOKUP(K36,Minimas!$A$11:$G$29,4),IF(AND(H36&gt;2002,H36&lt;2005),VLOOKUP(K36,Minimas!$A$11:$G$29,3),VLOOKUP(K36,Minimas!$A$11:$G$29,2))))),IF(OR(H36="SEN",H36&lt;1998),VLOOKUP(K36,Minimas!$G$11:$L$26,6),IF(AND(H36&gt;1997,H36&lt;2001),VLOOKUP(K36,Minimas!$G$11:$L$26,5),IF(AND(H36&gt;2000,H36&lt;2003),VLOOKUP(K36,Minimas!$G$11:$L$26,4),IF(AND(H36&gt;2002,H36&lt;2005),VLOOKUP(K36,Minimas!$G$11:$L$26,3),VLOOKUP(K36,Minimas!$G$11:$L$26,2)))))))</f>
        <v>C2 62</v>
      </c>
      <c r="W36" s="62">
        <f t="shared" ref="W36:W45" si="54">IF(E36=" "," ",IF(E36="H",10^(0.75194503*LOG(K36/175.508)^2)*T36,IF(E36="F",10^(0.783497476* LOG(K36/153.655)^2)*T36,"")))</f>
        <v>221.52762608222795</v>
      </c>
      <c r="X36" s="63"/>
      <c r="Y36" s="157" t="s">
        <v>131</v>
      </c>
      <c r="AB36" s="90">
        <f>T36-HLOOKUP(V36,Minimas!$C$1:$BN$10,2,FALSE)</f>
        <v>69</v>
      </c>
      <c r="AC36" s="90">
        <f>T36-HLOOKUP(V36,Minimas!$C$1:$BN$10,3,FALSE)</f>
        <v>49</v>
      </c>
      <c r="AD36" s="90">
        <f>T36-HLOOKUP(V36,Minimas!$C$1:$BN$10,4,FALSE)</f>
        <v>34</v>
      </c>
      <c r="AE36" s="90">
        <f>T36-HLOOKUP(V36,Minimas!$C$1:$BN$10,5,FALSE)</f>
        <v>19</v>
      </c>
      <c r="AF36" s="90">
        <f>T36-HLOOKUP(V36,Minimas!$C$1:$BN$10,6,FALSE)</f>
        <v>4</v>
      </c>
      <c r="AG36" s="90">
        <f>T36-HLOOKUP(V36,Minimas!$C$1:$BN$10,7,FALSE)</f>
        <v>-16</v>
      </c>
      <c r="AH36" s="90">
        <f>T36-HLOOKUP(V36,Minimas!$C$1:$BN$10,8,FALSE)</f>
        <v>-36</v>
      </c>
      <c r="AI36" s="90">
        <f>T36-HLOOKUP(V36,Minimas!$C$1:$BN$10,9,FALSE)</f>
        <v>-56</v>
      </c>
      <c r="AJ36" s="90">
        <f>T36-HLOOKUP(V36,Minimas!$C$1:$BN$10,10,FALSE)</f>
        <v>-846</v>
      </c>
      <c r="AK36" s="91" t="str">
        <f>IF(E36=0," ",IF(AJ36&gt;=0,$AJ$5,IF(AI36&gt;=0,$AI$5,IF(AH36&gt;=0,$AH$5,IF(AG36&gt;=0,$AG$5,IF(AF36&gt;=0,$AF$5,IF(AE36&gt;=0,$AE$5,IF(AD36&gt;=0,$AD$5,IF(AC36&gt;=0,$AC$5,$AB$5)))))))))</f>
        <v>FED +</v>
      </c>
      <c r="AM36" s="5" t="str">
        <f t="shared" ref="AM36:AM45" si="55">IF(AK36="","",AK36)</f>
        <v>FED +</v>
      </c>
      <c r="AN36" s="5">
        <f t="shared" ref="AN36:AN45" si="56">IF(E36=0," ",IF(AJ36&gt;=0,AJ36,IF(AI36&gt;=0,AI36,IF(AH36&gt;=0,AH36,IF(AG36&gt;=0,AG36,IF(AF36&gt;=0,AF36,IF(AE36&gt;=0,AE36,IF(AD36&gt;=0,AD36,IF(AC36&gt;=0,AC36,AB36)))))))))</f>
        <v>4</v>
      </c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</row>
    <row r="37" spans="1:123" s="11" customFormat="1" ht="5.0999999999999996" customHeight="1" thickBot="1" x14ac:dyDescent="0.25">
      <c r="A37" s="8"/>
      <c r="B37" s="147"/>
      <c r="C37" s="160"/>
      <c r="D37" s="41"/>
      <c r="E37" s="41"/>
      <c r="F37" s="42"/>
      <c r="G37" s="43"/>
      <c r="H37" s="44"/>
      <c r="I37" s="193"/>
      <c r="J37" s="40"/>
      <c r="K37" s="101"/>
      <c r="L37" s="45"/>
      <c r="M37" s="45"/>
      <c r="N37" s="45"/>
      <c r="O37" s="46"/>
      <c r="P37" s="45"/>
      <c r="Q37" s="45"/>
      <c r="R37" s="45"/>
      <c r="S37" s="46"/>
      <c r="T37" s="46"/>
      <c r="U37" s="41"/>
      <c r="V37" s="48"/>
      <c r="W37" s="47"/>
      <c r="X37" s="7"/>
      <c r="Y37" s="154"/>
      <c r="Z37" s="7"/>
      <c r="AA37" s="7"/>
      <c r="AB37" s="89" t="s">
        <v>60</v>
      </c>
      <c r="AC37" s="89" t="s">
        <v>61</v>
      </c>
      <c r="AD37" s="89" t="s">
        <v>62</v>
      </c>
      <c r="AE37" s="89" t="s">
        <v>63</v>
      </c>
      <c r="AF37" s="89" t="s">
        <v>64</v>
      </c>
      <c r="AG37" s="89" t="s">
        <v>65</v>
      </c>
      <c r="AH37" s="89" t="s">
        <v>66</v>
      </c>
      <c r="AI37" s="89" t="s">
        <v>67</v>
      </c>
      <c r="AJ37" s="89" t="s">
        <v>68</v>
      </c>
      <c r="AK37" s="89"/>
      <c r="AL37" s="7"/>
      <c r="AM37" s="7"/>
      <c r="AN37" s="7"/>
      <c r="AO37" s="7"/>
      <c r="AP37" s="7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</row>
    <row r="38" spans="1:123" s="5" customFormat="1" ht="27.95" customHeight="1" x14ac:dyDescent="0.2">
      <c r="B38" s="148" t="s">
        <v>120</v>
      </c>
      <c r="C38" s="161">
        <v>349647</v>
      </c>
      <c r="D38" s="92">
        <v>1</v>
      </c>
      <c r="E38" s="84" t="s">
        <v>70</v>
      </c>
      <c r="F38" s="36" t="s">
        <v>230</v>
      </c>
      <c r="G38" s="37" t="s">
        <v>231</v>
      </c>
      <c r="H38" s="92">
        <v>2002</v>
      </c>
      <c r="I38" s="192" t="s">
        <v>137</v>
      </c>
      <c r="J38" s="35" t="s">
        <v>108</v>
      </c>
      <c r="K38" s="103">
        <v>68.900000000000006</v>
      </c>
      <c r="L38" s="38">
        <v>75</v>
      </c>
      <c r="M38" s="39">
        <v>82</v>
      </c>
      <c r="N38" s="39">
        <v>-85</v>
      </c>
      <c r="O38" s="54">
        <f t="shared" ref="O38:O39" si="57">IF(E38="","",IF(MAXA(L38:N38)&lt;=0,0,MAXA(L38:N38)))</f>
        <v>82</v>
      </c>
      <c r="P38" s="53">
        <v>90</v>
      </c>
      <c r="Q38" s="53">
        <v>95</v>
      </c>
      <c r="R38" s="53">
        <v>98</v>
      </c>
      <c r="S38" s="54">
        <f t="shared" ref="S38:S39" si="58">IF(E38="","",IF(MAXA(P38:R38)&lt;=0,0,MAXA(P38:R38)))</f>
        <v>98</v>
      </c>
      <c r="T38" s="55">
        <f t="shared" ref="T38:T39" si="59">IF(E38="","",IF(OR(O38=0,S38=0),0,O38+S38))</f>
        <v>180</v>
      </c>
      <c r="U38" s="56" t="str">
        <f t="shared" ref="U38:U39" si="60">+CONCATENATE(AM38," ",AN38)</f>
        <v>FED + 10</v>
      </c>
      <c r="V38" s="86" t="str">
        <f>IF(E38=0," ",IF(E38="H",IF(OR(E38="SEN",H38&lt;1998),VLOOKUP(K38,Minimas!$A$11:$G$29,6),IF(AND(H38&gt;1997,H38&lt;2001),VLOOKUP(K38,Minimas!$A$11:$G$29,5),IF(AND(H38&gt;2000,H38&lt;2003),VLOOKUP(K38,Minimas!$A$11:$G$29,4),IF(AND(H38&gt;2002,H38&lt;2005),VLOOKUP(K38,Minimas!$A$11:$G$29,3),VLOOKUP(K38,Minimas!$A$11:$G$29,2))))),IF(OR(H38="SEN",H38&lt;1998),VLOOKUP(K38,Minimas!$G$11:$L$26,6),IF(AND(H38&gt;1997,H38&lt;2001),VLOOKUP(K38,Minimas!$G$11:$L$26,5),IF(AND(H38&gt;2000,H38&lt;2003),VLOOKUP(K38,Minimas!$G$11:$L$26,4),IF(AND(H38&gt;2002,H38&lt;2005),VLOOKUP(K38,Minimas!$G$11:$L$26,3),VLOOKUP(K38,Minimas!$G$11:$L$26,2)))))))</f>
        <v>C2 69</v>
      </c>
      <c r="W38" s="62">
        <f t="shared" ref="W38:W39" si="61">IF(E38=" "," ",IF(E38="H",10^(0.75194503*LOG(K38/175.508)^2)*T38,IF(E38="F",10^(0.783497476* LOG(K38/153.655)^2)*T38,"")))</f>
        <v>239.4790682659484</v>
      </c>
      <c r="X38" s="63"/>
      <c r="Y38" s="157" t="s">
        <v>131</v>
      </c>
      <c r="AB38" s="90">
        <f>T38-HLOOKUP(V38,Minimas!$C$1:$BN$10,2,FALSE)</f>
        <v>85</v>
      </c>
      <c r="AC38" s="90">
        <f>T38-HLOOKUP(V38,Minimas!$C$1:$BN$10,3,FALSE)</f>
        <v>65</v>
      </c>
      <c r="AD38" s="90">
        <f>T38-HLOOKUP(V38,Minimas!$C$1:$BN$10,4,FALSE)</f>
        <v>50</v>
      </c>
      <c r="AE38" s="90">
        <f>T38-HLOOKUP(V38,Minimas!$C$1:$BN$10,5,FALSE)</f>
        <v>30</v>
      </c>
      <c r="AF38" s="90">
        <f>T38-HLOOKUP(V38,Minimas!$C$1:$BN$10,6,FALSE)</f>
        <v>10</v>
      </c>
      <c r="AG38" s="90">
        <f>T38-HLOOKUP(V38,Minimas!$C$1:$BN$10,7,FALSE)</f>
        <v>-10</v>
      </c>
      <c r="AH38" s="90">
        <f>T38-HLOOKUP(V38,Minimas!$C$1:$BN$10,8,FALSE)</f>
        <v>-30</v>
      </c>
      <c r="AI38" s="90">
        <f>T38-HLOOKUP(V38,Minimas!$C$1:$BN$10,9,FALSE)</f>
        <v>-50</v>
      </c>
      <c r="AJ38" s="90">
        <f>T38-HLOOKUP(V38,Minimas!$C$1:$BN$10,10,FALSE)</f>
        <v>-820</v>
      </c>
      <c r="AK38" s="91" t="str">
        <f t="shared" ref="AK38:AK43" si="62">IF(E38=0," ",IF(AJ38&gt;=0,$AJ$5,IF(AI38&gt;=0,$AI$5,IF(AH38&gt;=0,$AH$5,IF(AG38&gt;=0,$AG$5,IF(AF38&gt;=0,$AF$5,IF(AE38&gt;=0,$AE$5,IF(AD38&gt;=0,$AD$5,IF(AC38&gt;=0,$AC$5,$AB$5)))))))))</f>
        <v>FED +</v>
      </c>
      <c r="AM38" s="5" t="str">
        <f t="shared" ref="AM38:AM39" si="63">IF(AK38="","",AK38)</f>
        <v>FED +</v>
      </c>
      <c r="AN38" s="5">
        <f t="shared" ref="AN38:AN39" si="64">IF(E38=0," ",IF(AJ38&gt;=0,AJ38,IF(AI38&gt;=0,AI38,IF(AH38&gt;=0,AH38,IF(AG38&gt;=0,AG38,IF(AF38&gt;=0,AF38,IF(AE38&gt;=0,AE38,IF(AD38&gt;=0,AD38,IF(AC38&gt;=0,AC38,AB38)))))))))</f>
        <v>10</v>
      </c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</row>
    <row r="39" spans="1:123" s="5" customFormat="1" ht="27.95" customHeight="1" x14ac:dyDescent="0.2">
      <c r="B39" s="148" t="s">
        <v>124</v>
      </c>
      <c r="C39" s="161">
        <v>426099</v>
      </c>
      <c r="D39" s="92">
        <v>2</v>
      </c>
      <c r="E39" s="84" t="s">
        <v>70</v>
      </c>
      <c r="F39" s="36" t="s">
        <v>490</v>
      </c>
      <c r="G39" s="37" t="s">
        <v>532</v>
      </c>
      <c r="H39" s="92">
        <v>2001</v>
      </c>
      <c r="I39" s="192" t="s">
        <v>543</v>
      </c>
      <c r="J39" s="35" t="s">
        <v>108</v>
      </c>
      <c r="K39" s="103">
        <v>66.5</v>
      </c>
      <c r="L39" s="38">
        <v>70</v>
      </c>
      <c r="M39" s="39">
        <v>75</v>
      </c>
      <c r="N39" s="39">
        <v>78</v>
      </c>
      <c r="O39" s="54">
        <f t="shared" si="57"/>
        <v>78</v>
      </c>
      <c r="P39" s="53">
        <v>92</v>
      </c>
      <c r="Q39" s="53">
        <v>97</v>
      </c>
      <c r="R39" s="53">
        <v>-100</v>
      </c>
      <c r="S39" s="54">
        <f t="shared" si="58"/>
        <v>97</v>
      </c>
      <c r="T39" s="55">
        <f t="shared" si="59"/>
        <v>175</v>
      </c>
      <c r="U39" s="56" t="str">
        <f t="shared" si="60"/>
        <v>FED + 5</v>
      </c>
      <c r="V39" s="86" t="str">
        <f>IF(E39=0," ",IF(E39="H",IF(OR(E39="SEN",H39&lt;1998),VLOOKUP(K39,Minimas!$A$11:$G$29,6),IF(AND(H39&gt;1997,H39&lt;2001),VLOOKUP(K39,Minimas!$A$11:$G$29,5),IF(AND(H39&gt;2000,H39&lt;2003),VLOOKUP(K39,Minimas!$A$11:$G$29,4),IF(AND(H39&gt;2002,H39&lt;2005),VLOOKUP(K39,Minimas!$A$11:$G$29,3),VLOOKUP(K39,Minimas!$A$11:$G$29,2))))),IF(OR(H39="SEN",H39&lt;1998),VLOOKUP(K39,Minimas!$G$11:$L$26,6),IF(AND(H39&gt;1997,H39&lt;2001),VLOOKUP(K39,Minimas!$G$11:$L$26,5),IF(AND(H39&gt;2000,H39&lt;2003),VLOOKUP(K39,Minimas!$G$11:$L$26,4),IF(AND(H39&gt;2002,H39&lt;2005),VLOOKUP(K39,Minimas!$G$11:$L$26,3),VLOOKUP(K39,Minimas!$G$11:$L$26,2)))))))</f>
        <v>C2 69</v>
      </c>
      <c r="W39" s="62">
        <f t="shared" si="61"/>
        <v>238.02064086938759</v>
      </c>
      <c r="X39" s="63"/>
      <c r="Y39" s="155" t="s">
        <v>441</v>
      </c>
      <c r="AB39" s="90">
        <f>T39-HLOOKUP(V39,Minimas!$C$1:$BN$10,2,FALSE)</f>
        <v>80</v>
      </c>
      <c r="AC39" s="90">
        <f>T39-HLOOKUP(V39,Minimas!$C$1:$BN$10,3,FALSE)</f>
        <v>60</v>
      </c>
      <c r="AD39" s="90">
        <f>T39-HLOOKUP(V39,Minimas!$C$1:$BN$10,4,FALSE)</f>
        <v>45</v>
      </c>
      <c r="AE39" s="90">
        <f>T39-HLOOKUP(V39,Minimas!$C$1:$BN$10,5,FALSE)</f>
        <v>25</v>
      </c>
      <c r="AF39" s="90">
        <f>T39-HLOOKUP(V39,Minimas!$C$1:$BN$10,6,FALSE)</f>
        <v>5</v>
      </c>
      <c r="AG39" s="90">
        <f>T39-HLOOKUP(V39,Minimas!$C$1:$BN$10,7,FALSE)</f>
        <v>-15</v>
      </c>
      <c r="AH39" s="90">
        <f>T39-HLOOKUP(V39,Minimas!$C$1:$BN$10,8,FALSE)</f>
        <v>-35</v>
      </c>
      <c r="AI39" s="90">
        <f>T39-HLOOKUP(V39,Minimas!$C$1:$BN$10,9,FALSE)</f>
        <v>-55</v>
      </c>
      <c r="AJ39" s="90">
        <f>T39-HLOOKUP(V39,Minimas!$C$1:$BN$10,10,FALSE)</f>
        <v>-825</v>
      </c>
      <c r="AK39" s="91" t="str">
        <f t="shared" si="62"/>
        <v>FED +</v>
      </c>
      <c r="AM39" s="5" t="str">
        <f t="shared" si="63"/>
        <v>FED +</v>
      </c>
      <c r="AN39" s="5">
        <f t="shared" si="64"/>
        <v>5</v>
      </c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</row>
    <row r="40" spans="1:123" s="5" customFormat="1" ht="27.95" customHeight="1" x14ac:dyDescent="0.2">
      <c r="B40" s="148" t="s">
        <v>124</v>
      </c>
      <c r="C40" s="161">
        <v>402051</v>
      </c>
      <c r="D40" s="92">
        <v>3</v>
      </c>
      <c r="E40" s="84" t="s">
        <v>70</v>
      </c>
      <c r="F40" s="36" t="s">
        <v>232</v>
      </c>
      <c r="G40" s="37" t="s">
        <v>233</v>
      </c>
      <c r="H40" s="92">
        <v>2001</v>
      </c>
      <c r="I40" s="192" t="s">
        <v>544</v>
      </c>
      <c r="J40" s="35" t="s">
        <v>108</v>
      </c>
      <c r="K40" s="103">
        <v>67.8</v>
      </c>
      <c r="L40" s="38">
        <v>-75</v>
      </c>
      <c r="M40" s="39">
        <v>75</v>
      </c>
      <c r="N40" s="39">
        <v>80</v>
      </c>
      <c r="O40" s="54">
        <f t="shared" si="50"/>
        <v>80</v>
      </c>
      <c r="P40" s="53">
        <v>90</v>
      </c>
      <c r="Q40" s="53">
        <v>-95</v>
      </c>
      <c r="R40" s="53">
        <v>-97</v>
      </c>
      <c r="S40" s="54">
        <f t="shared" si="51"/>
        <v>90</v>
      </c>
      <c r="T40" s="55">
        <f t="shared" si="52"/>
        <v>170</v>
      </c>
      <c r="U40" s="56" t="str">
        <f t="shared" si="53"/>
        <v>FED + 0</v>
      </c>
      <c r="V40" s="86" t="str">
        <f>IF(E40=0," ",IF(E40="H",IF(OR(E40="SEN",H40&lt;1998),VLOOKUP(K40,Minimas!$A$11:$G$29,6),IF(AND(H40&gt;1997,H40&lt;2001),VLOOKUP(K40,Minimas!$A$11:$G$29,5),IF(AND(H40&gt;2000,H40&lt;2003),VLOOKUP(K40,Minimas!$A$11:$G$29,4),IF(AND(H40&gt;2002,H40&lt;2005),VLOOKUP(K40,Minimas!$A$11:$G$29,3),VLOOKUP(K40,Minimas!$A$11:$G$29,2))))),IF(OR(H40="SEN",H40&lt;1998),VLOOKUP(K40,Minimas!$G$11:$L$26,6),IF(AND(H40&gt;1997,H40&lt;2001),VLOOKUP(K40,Minimas!$G$11:$L$26,5),IF(AND(H40&gt;2000,H40&lt;2003),VLOOKUP(K40,Minimas!$G$11:$L$26,4),IF(AND(H40&gt;2002,H40&lt;2005),VLOOKUP(K40,Minimas!$G$11:$L$26,3),VLOOKUP(K40,Minimas!$G$11:$L$26,2)))))))</f>
        <v>C2 69</v>
      </c>
      <c r="W40" s="62">
        <f t="shared" si="54"/>
        <v>228.42792224487803</v>
      </c>
      <c r="X40" s="63"/>
      <c r="Y40" s="157" t="s">
        <v>131</v>
      </c>
      <c r="AB40" s="90">
        <f>T40-HLOOKUP(V40,Minimas!$C$1:$BN$10,2,FALSE)</f>
        <v>75</v>
      </c>
      <c r="AC40" s="90">
        <f>T40-HLOOKUP(V40,Minimas!$C$1:$BN$10,3,FALSE)</f>
        <v>55</v>
      </c>
      <c r="AD40" s="90">
        <f>T40-HLOOKUP(V40,Minimas!$C$1:$BN$10,4,FALSE)</f>
        <v>40</v>
      </c>
      <c r="AE40" s="90">
        <f>T40-HLOOKUP(V40,Minimas!$C$1:$BN$10,5,FALSE)</f>
        <v>20</v>
      </c>
      <c r="AF40" s="90">
        <f>T40-HLOOKUP(V40,Minimas!$C$1:$BN$10,6,FALSE)</f>
        <v>0</v>
      </c>
      <c r="AG40" s="90">
        <f>T40-HLOOKUP(V40,Minimas!$C$1:$BN$10,7,FALSE)</f>
        <v>-20</v>
      </c>
      <c r="AH40" s="90">
        <f>T40-HLOOKUP(V40,Minimas!$C$1:$BN$10,8,FALSE)</f>
        <v>-40</v>
      </c>
      <c r="AI40" s="90">
        <f>T40-HLOOKUP(V40,Minimas!$C$1:$BN$10,9,FALSE)</f>
        <v>-60</v>
      </c>
      <c r="AJ40" s="90">
        <f>T40-HLOOKUP(V40,Minimas!$C$1:$BN$10,10,FALSE)</f>
        <v>-830</v>
      </c>
      <c r="AK40" s="91" t="str">
        <f t="shared" si="62"/>
        <v>FED +</v>
      </c>
      <c r="AM40" s="5" t="str">
        <f t="shared" si="55"/>
        <v>FED +</v>
      </c>
      <c r="AN40" s="5">
        <f t="shared" si="56"/>
        <v>0</v>
      </c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</row>
    <row r="41" spans="1:123" s="5" customFormat="1" ht="27.95" customHeight="1" x14ac:dyDescent="0.2">
      <c r="B41" s="148" t="s">
        <v>121</v>
      </c>
      <c r="C41" s="161">
        <v>344412</v>
      </c>
      <c r="D41" s="92">
        <v>4</v>
      </c>
      <c r="E41" s="84" t="s">
        <v>70</v>
      </c>
      <c r="F41" s="36" t="s">
        <v>234</v>
      </c>
      <c r="G41" s="37" t="s">
        <v>533</v>
      </c>
      <c r="H41" s="92">
        <v>2001</v>
      </c>
      <c r="I41" s="192" t="s">
        <v>416</v>
      </c>
      <c r="J41" s="35" t="s">
        <v>108</v>
      </c>
      <c r="K41" s="103">
        <v>69</v>
      </c>
      <c r="L41" s="38">
        <v>74</v>
      </c>
      <c r="M41" s="39">
        <v>78</v>
      </c>
      <c r="N41" s="39">
        <v>-80</v>
      </c>
      <c r="O41" s="54">
        <f t="shared" si="50"/>
        <v>78</v>
      </c>
      <c r="P41" s="53">
        <v>92</v>
      </c>
      <c r="Q41" s="53">
        <v>-95</v>
      </c>
      <c r="R41" s="53">
        <v>-95</v>
      </c>
      <c r="S41" s="54">
        <f t="shared" si="51"/>
        <v>92</v>
      </c>
      <c r="T41" s="55">
        <f t="shared" si="52"/>
        <v>170</v>
      </c>
      <c r="U41" s="56" t="str">
        <f t="shared" si="53"/>
        <v>FED + 0</v>
      </c>
      <c r="V41" s="86" t="str">
        <f>IF(E41=0," ",IF(E41="H",IF(OR(E41="SEN",H41&lt;1998),VLOOKUP(K41,Minimas!$A$11:$G$29,6),IF(AND(H41&gt;1997,H41&lt;2001),VLOOKUP(K41,Minimas!$A$11:$G$29,5),IF(AND(H41&gt;2000,H41&lt;2003),VLOOKUP(K41,Minimas!$A$11:$G$29,4),IF(AND(H41&gt;2002,H41&lt;2005),VLOOKUP(K41,Minimas!$A$11:$G$29,3),VLOOKUP(K41,Minimas!$A$11:$G$29,2))))),IF(OR(H41="SEN",H41&lt;1998),VLOOKUP(K41,Minimas!$G$11:$L$26,6),IF(AND(H41&gt;1997,H41&lt;2001),VLOOKUP(K41,Minimas!$G$11:$L$26,5),IF(AND(H41&gt;2000,H41&lt;2003),VLOOKUP(K41,Minimas!$G$11:$L$26,4),IF(AND(H41&gt;2002,H41&lt;2005),VLOOKUP(K41,Minimas!$G$11:$L$26,3),VLOOKUP(K41,Minimas!$G$11:$L$26,2)))))))</f>
        <v>C2 69</v>
      </c>
      <c r="W41" s="62">
        <f t="shared" si="54"/>
        <v>225.97459456504978</v>
      </c>
      <c r="X41" s="63"/>
      <c r="Y41" s="157" t="s">
        <v>131</v>
      </c>
      <c r="AB41" s="90">
        <f>T41-HLOOKUP(V41,Minimas!$C$1:$BN$10,2,FALSE)</f>
        <v>75</v>
      </c>
      <c r="AC41" s="90">
        <f>T41-HLOOKUP(V41,Minimas!$C$1:$BN$10,3,FALSE)</f>
        <v>55</v>
      </c>
      <c r="AD41" s="90">
        <f>T41-HLOOKUP(V41,Minimas!$C$1:$BN$10,4,FALSE)</f>
        <v>40</v>
      </c>
      <c r="AE41" s="90">
        <f>T41-HLOOKUP(V41,Minimas!$C$1:$BN$10,5,FALSE)</f>
        <v>20</v>
      </c>
      <c r="AF41" s="90">
        <f>T41-HLOOKUP(V41,Minimas!$C$1:$BN$10,6,FALSE)</f>
        <v>0</v>
      </c>
      <c r="AG41" s="90">
        <f>T41-HLOOKUP(V41,Minimas!$C$1:$BN$10,7,FALSE)</f>
        <v>-20</v>
      </c>
      <c r="AH41" s="90">
        <f>T41-HLOOKUP(V41,Minimas!$C$1:$BN$10,8,FALSE)</f>
        <v>-40</v>
      </c>
      <c r="AI41" s="90">
        <f>T41-HLOOKUP(V41,Minimas!$C$1:$BN$10,9,FALSE)</f>
        <v>-60</v>
      </c>
      <c r="AJ41" s="90">
        <f>T41-HLOOKUP(V41,Minimas!$C$1:$BN$10,10,FALSE)</f>
        <v>-830</v>
      </c>
      <c r="AK41" s="91" t="str">
        <f t="shared" si="62"/>
        <v>FED +</v>
      </c>
      <c r="AM41" s="5" t="str">
        <f t="shared" si="55"/>
        <v>FED +</v>
      </c>
      <c r="AN41" s="5">
        <f t="shared" si="56"/>
        <v>0</v>
      </c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</row>
    <row r="42" spans="1:123" s="5" customFormat="1" ht="27.95" customHeight="1" x14ac:dyDescent="0.2">
      <c r="B42" s="148" t="s">
        <v>138</v>
      </c>
      <c r="C42" s="161">
        <v>407187</v>
      </c>
      <c r="D42" s="92">
        <v>5</v>
      </c>
      <c r="E42" s="84" t="s">
        <v>70</v>
      </c>
      <c r="F42" s="36" t="s">
        <v>391</v>
      </c>
      <c r="G42" s="37" t="s">
        <v>534</v>
      </c>
      <c r="H42" s="92">
        <v>2001</v>
      </c>
      <c r="I42" s="192" t="s">
        <v>542</v>
      </c>
      <c r="J42" s="35" t="s">
        <v>108</v>
      </c>
      <c r="K42" s="103">
        <v>68.7</v>
      </c>
      <c r="L42" s="38">
        <v>72</v>
      </c>
      <c r="M42" s="39">
        <v>-75</v>
      </c>
      <c r="N42" s="39">
        <v>75</v>
      </c>
      <c r="O42" s="54">
        <f t="shared" si="50"/>
        <v>75</v>
      </c>
      <c r="P42" s="53">
        <v>90</v>
      </c>
      <c r="Q42" s="53">
        <v>95</v>
      </c>
      <c r="R42" s="53">
        <v>-100</v>
      </c>
      <c r="S42" s="54">
        <f t="shared" si="51"/>
        <v>95</v>
      </c>
      <c r="T42" s="55">
        <f t="shared" si="52"/>
        <v>170</v>
      </c>
      <c r="U42" s="56" t="str">
        <f t="shared" si="53"/>
        <v>FED + 0</v>
      </c>
      <c r="V42" s="86" t="str">
        <f>IF(E42=0," ",IF(E42="H",IF(OR(E42="SEN",H42&lt;1998),VLOOKUP(K42,Minimas!$A$11:$G$29,6),IF(AND(H42&gt;1997,H42&lt;2001),VLOOKUP(K42,Minimas!$A$11:$G$29,5),IF(AND(H42&gt;2000,H42&lt;2003),VLOOKUP(K42,Minimas!$A$11:$G$29,4),IF(AND(H42&gt;2002,H42&lt;2005),VLOOKUP(K42,Minimas!$A$11:$G$29,3),VLOOKUP(K42,Minimas!$A$11:$G$29,2))))),IF(OR(H42="SEN",H42&lt;1998),VLOOKUP(K42,Minimas!$G$11:$L$26,6),IF(AND(H42&gt;1997,H42&lt;2001),VLOOKUP(K42,Minimas!$G$11:$L$26,5),IF(AND(H42&gt;2000,H42&lt;2003),VLOOKUP(K42,Minimas!$G$11:$L$26,4),IF(AND(H42&gt;2002,H42&lt;2005),VLOOKUP(K42,Minimas!$G$11:$L$26,3),VLOOKUP(K42,Minimas!$G$11:$L$26,2)))))))</f>
        <v>C2 69</v>
      </c>
      <c r="W42" s="62">
        <f t="shared" si="54"/>
        <v>226.5771810653807</v>
      </c>
      <c r="X42" s="63"/>
      <c r="Y42" s="156" t="s">
        <v>319</v>
      </c>
      <c r="AB42" s="90">
        <f>T42-HLOOKUP(V42,Minimas!$C$1:$BN$10,2,FALSE)</f>
        <v>75</v>
      </c>
      <c r="AC42" s="90">
        <f>T42-HLOOKUP(V42,Minimas!$C$1:$BN$10,3,FALSE)</f>
        <v>55</v>
      </c>
      <c r="AD42" s="90">
        <f>T42-HLOOKUP(V42,Minimas!$C$1:$BN$10,4,FALSE)</f>
        <v>40</v>
      </c>
      <c r="AE42" s="90">
        <f>T42-HLOOKUP(V42,Minimas!$C$1:$BN$10,5,FALSE)</f>
        <v>20</v>
      </c>
      <c r="AF42" s="90">
        <f>T42-HLOOKUP(V42,Minimas!$C$1:$BN$10,6,FALSE)</f>
        <v>0</v>
      </c>
      <c r="AG42" s="90">
        <f>T42-HLOOKUP(V42,Minimas!$C$1:$BN$10,7,FALSE)</f>
        <v>-20</v>
      </c>
      <c r="AH42" s="90">
        <f>T42-HLOOKUP(V42,Minimas!$C$1:$BN$10,8,FALSE)</f>
        <v>-40</v>
      </c>
      <c r="AI42" s="90">
        <f>T42-HLOOKUP(V42,Minimas!$C$1:$BN$10,9,FALSE)</f>
        <v>-60</v>
      </c>
      <c r="AJ42" s="90">
        <f>T42-HLOOKUP(V42,Minimas!$C$1:$BN$10,10,FALSE)</f>
        <v>-830</v>
      </c>
      <c r="AK42" s="91" t="str">
        <f t="shared" si="62"/>
        <v>FED +</v>
      </c>
      <c r="AM42" s="5" t="str">
        <f t="shared" si="55"/>
        <v>FED +</v>
      </c>
      <c r="AN42" s="5">
        <f t="shared" si="56"/>
        <v>0</v>
      </c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</row>
    <row r="43" spans="1:123" s="5" customFormat="1" ht="27.95" customHeight="1" thickBot="1" x14ac:dyDescent="0.25">
      <c r="B43" s="148" t="s">
        <v>120</v>
      </c>
      <c r="C43" s="161">
        <v>426109</v>
      </c>
      <c r="D43" s="92">
        <v>6</v>
      </c>
      <c r="E43" s="84" t="s">
        <v>70</v>
      </c>
      <c r="F43" s="36" t="s">
        <v>491</v>
      </c>
      <c r="G43" s="37" t="s">
        <v>429</v>
      </c>
      <c r="H43" s="92">
        <v>2001</v>
      </c>
      <c r="I43" s="192" t="s">
        <v>332</v>
      </c>
      <c r="J43" s="35" t="s">
        <v>108</v>
      </c>
      <c r="K43" s="103">
        <v>66.599999999999994</v>
      </c>
      <c r="L43" s="38">
        <v>70</v>
      </c>
      <c r="M43" s="39">
        <v>73</v>
      </c>
      <c r="N43" s="39">
        <v>75</v>
      </c>
      <c r="O43" s="54">
        <f t="shared" si="50"/>
        <v>75</v>
      </c>
      <c r="P43" s="53">
        <v>-95</v>
      </c>
      <c r="Q43" s="53">
        <v>95</v>
      </c>
      <c r="R43" s="53">
        <v>-100</v>
      </c>
      <c r="S43" s="54">
        <f t="shared" si="51"/>
        <v>95</v>
      </c>
      <c r="T43" s="55">
        <f t="shared" si="52"/>
        <v>170</v>
      </c>
      <c r="U43" s="56" t="str">
        <f t="shared" si="53"/>
        <v>FED + 0</v>
      </c>
      <c r="V43" s="86" t="str">
        <f>IF(E43=0," ",IF(E43="H",IF(OR(E43="SEN",H43&lt;1998),VLOOKUP(K43,Minimas!$A$11:$G$29,6),IF(AND(H43&gt;1997,H43&lt;2001),VLOOKUP(K43,Minimas!$A$11:$G$29,5),IF(AND(H43&gt;2000,H43&lt;2003),VLOOKUP(K43,Minimas!$A$11:$G$29,4),IF(AND(H43&gt;2002,H43&lt;2005),VLOOKUP(K43,Minimas!$A$11:$G$29,3),VLOOKUP(K43,Minimas!$A$11:$G$29,2))))),IF(OR(H43="SEN",H43&lt;1998),VLOOKUP(K43,Minimas!$G$11:$L$26,6),IF(AND(H43&gt;1997,H43&lt;2001),VLOOKUP(K43,Minimas!$G$11:$L$26,5),IF(AND(H43&gt;2000,H43&lt;2003),VLOOKUP(K43,Minimas!$G$11:$L$26,4),IF(AND(H43&gt;2002,H43&lt;2005),VLOOKUP(K43,Minimas!$G$11:$L$26,3),VLOOKUP(K43,Minimas!$G$11:$L$26,2)))))))</f>
        <v>C2 69</v>
      </c>
      <c r="W43" s="62">
        <f t="shared" si="54"/>
        <v>231.00010176530284</v>
      </c>
      <c r="X43" s="63"/>
      <c r="Y43" s="155" t="s">
        <v>441</v>
      </c>
      <c r="AB43" s="90">
        <f>T43-HLOOKUP(V43,Minimas!$C$1:$BN$10,2,FALSE)</f>
        <v>75</v>
      </c>
      <c r="AC43" s="90">
        <f>T43-HLOOKUP(V43,Minimas!$C$1:$BN$10,3,FALSE)</f>
        <v>55</v>
      </c>
      <c r="AD43" s="90">
        <f>T43-HLOOKUP(V43,Minimas!$C$1:$BN$10,4,FALSE)</f>
        <v>40</v>
      </c>
      <c r="AE43" s="90">
        <f>T43-HLOOKUP(V43,Minimas!$C$1:$BN$10,5,FALSE)</f>
        <v>20</v>
      </c>
      <c r="AF43" s="90">
        <f>T43-HLOOKUP(V43,Minimas!$C$1:$BN$10,6,FALSE)</f>
        <v>0</v>
      </c>
      <c r="AG43" s="90">
        <f>T43-HLOOKUP(V43,Minimas!$C$1:$BN$10,7,FALSE)</f>
        <v>-20</v>
      </c>
      <c r="AH43" s="90">
        <f>T43-HLOOKUP(V43,Minimas!$C$1:$BN$10,8,FALSE)</f>
        <v>-40</v>
      </c>
      <c r="AI43" s="90">
        <f>T43-HLOOKUP(V43,Minimas!$C$1:$BN$10,9,FALSE)</f>
        <v>-60</v>
      </c>
      <c r="AJ43" s="90">
        <f>T43-HLOOKUP(V43,Minimas!$C$1:$BN$10,10,FALSE)</f>
        <v>-830</v>
      </c>
      <c r="AK43" s="91" t="str">
        <f t="shared" si="62"/>
        <v>FED +</v>
      </c>
      <c r="AM43" s="5" t="str">
        <f t="shared" si="55"/>
        <v>FED +</v>
      </c>
      <c r="AN43" s="5">
        <f t="shared" si="56"/>
        <v>0</v>
      </c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</row>
    <row r="44" spans="1:123" s="11" customFormat="1" ht="5.0999999999999996" customHeight="1" thickBot="1" x14ac:dyDescent="0.25">
      <c r="A44" s="8"/>
      <c r="B44" s="147"/>
      <c r="C44" s="160"/>
      <c r="D44" s="41"/>
      <c r="E44" s="41"/>
      <c r="F44" s="42"/>
      <c r="G44" s="43"/>
      <c r="H44" s="44"/>
      <c r="I44" s="193"/>
      <c r="J44" s="40"/>
      <c r="K44" s="101"/>
      <c r="L44" s="45"/>
      <c r="M44" s="45"/>
      <c r="N44" s="45"/>
      <c r="O44" s="46"/>
      <c r="P44" s="45"/>
      <c r="Q44" s="45"/>
      <c r="R44" s="45"/>
      <c r="S44" s="46"/>
      <c r="T44" s="46"/>
      <c r="U44" s="41"/>
      <c r="V44" s="48"/>
      <c r="W44" s="47"/>
      <c r="X44" s="7"/>
      <c r="Y44" s="154"/>
      <c r="Z44" s="7"/>
      <c r="AA44" s="7"/>
      <c r="AB44" s="89" t="s">
        <v>60</v>
      </c>
      <c r="AC44" s="89" t="s">
        <v>61</v>
      </c>
      <c r="AD44" s="89" t="s">
        <v>62</v>
      </c>
      <c r="AE44" s="89" t="s">
        <v>63</v>
      </c>
      <c r="AF44" s="89" t="s">
        <v>64</v>
      </c>
      <c r="AG44" s="89" t="s">
        <v>65</v>
      </c>
      <c r="AH44" s="89" t="s">
        <v>66</v>
      </c>
      <c r="AI44" s="89" t="s">
        <v>67</v>
      </c>
      <c r="AJ44" s="89" t="s">
        <v>68</v>
      </c>
      <c r="AK44" s="89"/>
      <c r="AL44" s="7"/>
      <c r="AM44" s="7"/>
      <c r="AN44" s="7"/>
      <c r="AO44" s="7"/>
      <c r="AP44" s="7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</row>
    <row r="45" spans="1:123" s="5" customFormat="1" ht="27.95" customHeight="1" x14ac:dyDescent="0.2">
      <c r="B45" s="148" t="s">
        <v>121</v>
      </c>
      <c r="C45" s="161">
        <v>417173</v>
      </c>
      <c r="D45" s="92">
        <v>1</v>
      </c>
      <c r="E45" s="84" t="s">
        <v>70</v>
      </c>
      <c r="F45" s="36" t="s">
        <v>237</v>
      </c>
      <c r="G45" s="37" t="s">
        <v>238</v>
      </c>
      <c r="H45" s="92">
        <v>2001</v>
      </c>
      <c r="I45" s="192" t="s">
        <v>545</v>
      </c>
      <c r="J45" s="35" t="s">
        <v>108</v>
      </c>
      <c r="K45" s="103">
        <v>76.8</v>
      </c>
      <c r="L45" s="38">
        <v>80</v>
      </c>
      <c r="M45" s="39">
        <v>-84</v>
      </c>
      <c r="N45" s="39">
        <v>85</v>
      </c>
      <c r="O45" s="54">
        <f t="shared" si="50"/>
        <v>85</v>
      </c>
      <c r="P45" s="53">
        <v>100</v>
      </c>
      <c r="Q45" s="53">
        <v>105</v>
      </c>
      <c r="R45" s="53">
        <v>-107</v>
      </c>
      <c r="S45" s="54">
        <f t="shared" si="51"/>
        <v>105</v>
      </c>
      <c r="T45" s="55">
        <f t="shared" si="52"/>
        <v>190</v>
      </c>
      <c r="U45" s="56" t="str">
        <f t="shared" si="53"/>
        <v>FED + 5</v>
      </c>
      <c r="V45" s="86" t="str">
        <f>IF(E45=0," ",IF(E45="H",IF(OR(E45="SEN",H45&lt;1998),VLOOKUP(K45,Minimas!$A$11:$G$29,6),IF(AND(H45&gt;1997,H45&lt;2001),VLOOKUP(K45,Minimas!$A$11:$G$29,5),IF(AND(H45&gt;2000,H45&lt;2003),VLOOKUP(K45,Minimas!$A$11:$G$29,4),IF(AND(H45&gt;2002,H45&lt;2005),VLOOKUP(K45,Minimas!$A$11:$G$29,3),VLOOKUP(K45,Minimas!$A$11:$G$29,2))))),IF(OR(H45="SEN",H45&lt;1998),VLOOKUP(K45,Minimas!$G$11:$L$26,6),IF(AND(H45&gt;1997,H45&lt;2001),VLOOKUP(K45,Minimas!$G$11:$L$26,5),IF(AND(H45&gt;2000,H45&lt;2003),VLOOKUP(K45,Minimas!$G$11:$L$26,4),IF(AND(H45&gt;2002,H45&lt;2005),VLOOKUP(K45,Minimas!$G$11:$L$26,3),VLOOKUP(K45,Minimas!$G$11:$L$26,2)))))))</f>
        <v>C2 77</v>
      </c>
      <c r="W45" s="62">
        <f t="shared" si="54"/>
        <v>237.48179049132168</v>
      </c>
      <c r="X45" s="63"/>
      <c r="Y45" s="155" t="s">
        <v>441</v>
      </c>
      <c r="AB45" s="90">
        <f>T45-HLOOKUP(V45,Minimas!$C$1:$BN$10,2,FALSE)</f>
        <v>80</v>
      </c>
      <c r="AC45" s="90">
        <f>T45-HLOOKUP(V45,Minimas!$C$1:$BN$10,3,FALSE)</f>
        <v>60</v>
      </c>
      <c r="AD45" s="90">
        <f>T45-HLOOKUP(V45,Minimas!$C$1:$BN$10,4,FALSE)</f>
        <v>40</v>
      </c>
      <c r="AE45" s="90">
        <f>T45-HLOOKUP(V45,Minimas!$C$1:$BN$10,5,FALSE)</f>
        <v>20</v>
      </c>
      <c r="AF45" s="90">
        <f>T45-HLOOKUP(V45,Minimas!$C$1:$BN$10,6,FALSE)</f>
        <v>5</v>
      </c>
      <c r="AG45" s="90">
        <f>T45-HLOOKUP(V45,Minimas!$C$1:$BN$10,7,FALSE)</f>
        <v>-10</v>
      </c>
      <c r="AH45" s="90">
        <f>T45-HLOOKUP(V45,Minimas!$C$1:$BN$10,8,FALSE)</f>
        <v>-30</v>
      </c>
      <c r="AI45" s="90">
        <f>T45-HLOOKUP(V45,Minimas!$C$1:$BN$10,9,FALSE)</f>
        <v>-60</v>
      </c>
      <c r="AJ45" s="90">
        <f>T45-HLOOKUP(V45,Minimas!$C$1:$BN$10,10,FALSE)</f>
        <v>-810</v>
      </c>
      <c r="AK45" s="91" t="str">
        <f>IF(E45=0," ",IF(AJ45&gt;=0,$AJ$5,IF(AI45&gt;=0,$AI$5,IF(AH45&gt;=0,$AH$5,IF(AG45&gt;=0,$AG$5,IF(AF45&gt;=0,$AF$5,IF(AE45&gt;=0,$AE$5,IF(AD45&gt;=0,$AD$5,IF(AC45&gt;=0,$AC$5,$AB$5)))))))))</f>
        <v>FED +</v>
      </c>
      <c r="AM45" s="5" t="str">
        <f t="shared" si="55"/>
        <v>FED +</v>
      </c>
      <c r="AN45" s="5">
        <f t="shared" si="56"/>
        <v>5</v>
      </c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</row>
    <row r="46" spans="1:123" s="5" customFormat="1" ht="27.95" customHeight="1" x14ac:dyDescent="0.2">
      <c r="B46" s="148" t="s">
        <v>189</v>
      </c>
      <c r="C46" s="161">
        <v>400457</v>
      </c>
      <c r="D46" s="92">
        <v>2</v>
      </c>
      <c r="E46" s="84" t="s">
        <v>70</v>
      </c>
      <c r="F46" s="36" t="s">
        <v>236</v>
      </c>
      <c r="G46" s="37" t="s">
        <v>535</v>
      </c>
      <c r="H46" s="92">
        <v>2001</v>
      </c>
      <c r="I46" s="192" t="s">
        <v>546</v>
      </c>
      <c r="J46" s="35" t="s">
        <v>108</v>
      </c>
      <c r="K46" s="103">
        <v>76.2</v>
      </c>
      <c r="L46" s="38">
        <v>-80</v>
      </c>
      <c r="M46" s="39">
        <v>-80</v>
      </c>
      <c r="N46" s="39">
        <v>80</v>
      </c>
      <c r="O46" s="54">
        <f t="shared" si="43"/>
        <v>80</v>
      </c>
      <c r="P46" s="53">
        <v>105</v>
      </c>
      <c r="Q46" s="53">
        <v>108</v>
      </c>
      <c r="R46" s="53">
        <v>-111</v>
      </c>
      <c r="S46" s="54">
        <f t="shared" si="44"/>
        <v>108</v>
      </c>
      <c r="T46" s="55">
        <f t="shared" si="45"/>
        <v>188</v>
      </c>
      <c r="U46" s="56" t="str">
        <f t="shared" si="46"/>
        <v>FED + 3</v>
      </c>
      <c r="V46" s="86" t="str">
        <f>IF(E46=0," ",IF(E46="H",IF(OR(E46="SEN",H46&lt;1998),VLOOKUP(K46,Minimas!$A$11:$G$29,6),IF(AND(H46&gt;1997,H46&lt;2001),VLOOKUP(K46,Minimas!$A$11:$G$29,5),IF(AND(H46&gt;2000,H46&lt;2003),VLOOKUP(K46,Minimas!$A$11:$G$29,4),IF(AND(H46&gt;2002,H46&lt;2005),VLOOKUP(K46,Minimas!$A$11:$G$29,3),VLOOKUP(K46,Minimas!$A$11:$G$29,2))))),IF(OR(H46="SEN",H46&lt;1998),VLOOKUP(K46,Minimas!$G$11:$L$26,6),IF(AND(H46&gt;1997,H46&lt;2001),VLOOKUP(K46,Minimas!$G$11:$L$26,5),IF(AND(H46&gt;2000,H46&lt;2003),VLOOKUP(K46,Minimas!$G$11:$L$26,4),IF(AND(H46&gt;2002,H46&lt;2005),VLOOKUP(K46,Minimas!$G$11:$L$26,3),VLOOKUP(K46,Minimas!$G$11:$L$26,2)))))))</f>
        <v>C2 77</v>
      </c>
      <c r="W46" s="62">
        <f t="shared" si="47"/>
        <v>235.98368570096747</v>
      </c>
      <c r="X46" s="63"/>
      <c r="Y46" s="157" t="s">
        <v>131</v>
      </c>
      <c r="AB46" s="90">
        <f>T46-HLOOKUP(V46,Minimas!$C$1:$BN$10,2,FALSE)</f>
        <v>78</v>
      </c>
      <c r="AC46" s="90">
        <f>T46-HLOOKUP(V46,Minimas!$C$1:$BN$10,3,FALSE)</f>
        <v>58</v>
      </c>
      <c r="AD46" s="90">
        <f>T46-HLOOKUP(V46,Minimas!$C$1:$BN$10,4,FALSE)</f>
        <v>38</v>
      </c>
      <c r="AE46" s="90">
        <f>T46-HLOOKUP(V46,Minimas!$C$1:$BN$10,5,FALSE)</f>
        <v>18</v>
      </c>
      <c r="AF46" s="90">
        <f>T46-HLOOKUP(V46,Minimas!$C$1:$BN$10,6,FALSE)</f>
        <v>3</v>
      </c>
      <c r="AG46" s="90">
        <f>T46-HLOOKUP(V46,Minimas!$C$1:$BN$10,7,FALSE)</f>
        <v>-12</v>
      </c>
      <c r="AH46" s="90">
        <f>T46-HLOOKUP(V46,Minimas!$C$1:$BN$10,8,FALSE)</f>
        <v>-32</v>
      </c>
      <c r="AI46" s="90">
        <f>T46-HLOOKUP(V46,Minimas!$C$1:$BN$10,9,FALSE)</f>
        <v>-62</v>
      </c>
      <c r="AJ46" s="90">
        <f>T46-HLOOKUP(V46,Minimas!$C$1:$BN$10,10,FALSE)</f>
        <v>-812</v>
      </c>
      <c r="AK46" s="91" t="str">
        <f>IF(E46=0," ",IF(AJ46&gt;=0,$AJ$5,IF(AI46&gt;=0,$AI$5,IF(AH46&gt;=0,$AH$5,IF(AG46&gt;=0,$AG$5,IF(AF46&gt;=0,$AF$5,IF(AE46&gt;=0,$AE$5,IF(AD46&gt;=0,$AD$5,IF(AC46&gt;=0,$AC$5,$AB$5)))))))))</f>
        <v>FED +</v>
      </c>
      <c r="AM46" s="5" t="str">
        <f t="shared" si="48"/>
        <v>FED +</v>
      </c>
      <c r="AN46" s="5">
        <f t="shared" si="49"/>
        <v>3</v>
      </c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</row>
    <row r="47" spans="1:123" s="5" customFormat="1" ht="27.95" customHeight="1" thickBot="1" x14ac:dyDescent="0.25">
      <c r="B47" s="148" t="s">
        <v>314</v>
      </c>
      <c r="C47" s="161">
        <v>326262</v>
      </c>
      <c r="D47" s="92">
        <v>3</v>
      </c>
      <c r="E47" s="84" t="s">
        <v>70</v>
      </c>
      <c r="F47" s="36" t="s">
        <v>492</v>
      </c>
      <c r="G47" s="37" t="s">
        <v>536</v>
      </c>
      <c r="H47" s="92">
        <v>2002</v>
      </c>
      <c r="I47" s="192" t="s">
        <v>547</v>
      </c>
      <c r="J47" s="35" t="s">
        <v>108</v>
      </c>
      <c r="K47" s="103">
        <v>73.3</v>
      </c>
      <c r="L47" s="38">
        <v>80</v>
      </c>
      <c r="M47" s="39">
        <v>83</v>
      </c>
      <c r="N47" s="39">
        <v>-85</v>
      </c>
      <c r="O47" s="54">
        <f t="shared" si="43"/>
        <v>83</v>
      </c>
      <c r="P47" s="53">
        <v>102</v>
      </c>
      <c r="Q47" s="53">
        <v>-104</v>
      </c>
      <c r="R47" s="53">
        <v>-104</v>
      </c>
      <c r="S47" s="54">
        <f t="shared" si="44"/>
        <v>102</v>
      </c>
      <c r="T47" s="55">
        <f t="shared" si="45"/>
        <v>185</v>
      </c>
      <c r="U47" s="56" t="str">
        <f t="shared" si="46"/>
        <v>FED + 0</v>
      </c>
      <c r="V47" s="86" t="str">
        <f>IF(E47=0," ",IF(E47="H",IF(OR(E47="SEN",H47&lt;1998),VLOOKUP(K47,Minimas!$A$11:$G$29,6),IF(AND(H47&gt;1997,H47&lt;2001),VLOOKUP(K47,Minimas!$A$11:$G$29,5),IF(AND(H47&gt;2000,H47&lt;2003),VLOOKUP(K47,Minimas!$A$11:$G$29,4),IF(AND(H47&gt;2002,H47&lt;2005),VLOOKUP(K47,Minimas!$A$11:$G$29,3),VLOOKUP(K47,Minimas!$A$11:$G$29,2))))),IF(OR(H47="SEN",H47&lt;1998),VLOOKUP(K47,Minimas!$G$11:$L$26,6),IF(AND(H47&gt;1997,H47&lt;2001),VLOOKUP(K47,Minimas!$G$11:$L$26,5),IF(AND(H47&gt;2000,H47&lt;2003),VLOOKUP(K47,Minimas!$G$11:$L$26,4),IF(AND(H47&gt;2002,H47&lt;2005),VLOOKUP(K47,Minimas!$G$11:$L$26,3),VLOOKUP(K47,Minimas!$G$11:$L$26,2)))))))</f>
        <v>C2 77</v>
      </c>
      <c r="W47" s="62">
        <f t="shared" si="47"/>
        <v>237.29679075783164</v>
      </c>
      <c r="X47" s="63"/>
      <c r="Y47" s="155" t="s">
        <v>441</v>
      </c>
      <c r="AB47" s="90">
        <f>T47-HLOOKUP(V47,Minimas!$C$1:$BN$10,2,FALSE)</f>
        <v>75</v>
      </c>
      <c r="AC47" s="90">
        <f>T47-HLOOKUP(V47,Minimas!$C$1:$BN$10,3,FALSE)</f>
        <v>55</v>
      </c>
      <c r="AD47" s="90">
        <f>T47-HLOOKUP(V47,Minimas!$C$1:$BN$10,4,FALSE)</f>
        <v>35</v>
      </c>
      <c r="AE47" s="90">
        <f>T47-HLOOKUP(V47,Minimas!$C$1:$BN$10,5,FALSE)</f>
        <v>15</v>
      </c>
      <c r="AF47" s="90">
        <f>T47-HLOOKUP(V47,Minimas!$C$1:$BN$10,6,FALSE)</f>
        <v>0</v>
      </c>
      <c r="AG47" s="90">
        <f>T47-HLOOKUP(V47,Minimas!$C$1:$BN$10,7,FALSE)</f>
        <v>-15</v>
      </c>
      <c r="AH47" s="90">
        <f>T47-HLOOKUP(V47,Minimas!$C$1:$BN$10,8,FALSE)</f>
        <v>-35</v>
      </c>
      <c r="AI47" s="90">
        <f>T47-HLOOKUP(V47,Minimas!$C$1:$BN$10,9,FALSE)</f>
        <v>-65</v>
      </c>
      <c r="AJ47" s="90">
        <f>T47-HLOOKUP(V47,Minimas!$C$1:$BN$10,10,FALSE)</f>
        <v>-815</v>
      </c>
      <c r="AK47" s="91" t="str">
        <f>IF(E47=0," ",IF(AJ47&gt;=0,$AJ$5,IF(AI47&gt;=0,$AI$5,IF(AH47&gt;=0,$AH$5,IF(AG47&gt;=0,$AG$5,IF(AF47&gt;=0,$AF$5,IF(AE47&gt;=0,$AE$5,IF(AD47&gt;=0,$AD$5,IF(AC47&gt;=0,$AC$5,$AB$5)))))))))</f>
        <v>FED +</v>
      </c>
      <c r="AM47" s="5" t="str">
        <f t="shared" si="48"/>
        <v>FED +</v>
      </c>
      <c r="AN47" s="5">
        <f t="shared" si="49"/>
        <v>0</v>
      </c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</row>
    <row r="48" spans="1:123" s="11" customFormat="1" ht="5.0999999999999996" customHeight="1" thickBot="1" x14ac:dyDescent="0.25">
      <c r="A48" s="8"/>
      <c r="B48" s="147"/>
      <c r="C48" s="160"/>
      <c r="D48" s="41"/>
      <c r="E48" s="41"/>
      <c r="F48" s="42"/>
      <c r="G48" s="43"/>
      <c r="H48" s="44"/>
      <c r="I48" s="193"/>
      <c r="J48" s="40"/>
      <c r="K48" s="101"/>
      <c r="L48" s="45"/>
      <c r="M48" s="45"/>
      <c r="N48" s="45"/>
      <c r="O48" s="46"/>
      <c r="P48" s="45"/>
      <c r="Q48" s="45"/>
      <c r="R48" s="45"/>
      <c r="S48" s="46"/>
      <c r="T48" s="46"/>
      <c r="U48" s="41"/>
      <c r="V48" s="48"/>
      <c r="W48" s="47"/>
      <c r="X48" s="7"/>
      <c r="Y48" s="154"/>
      <c r="Z48" s="7"/>
      <c r="AA48" s="7"/>
      <c r="AB48" s="89" t="s">
        <v>60</v>
      </c>
      <c r="AC48" s="89" t="s">
        <v>61</v>
      </c>
      <c r="AD48" s="89" t="s">
        <v>62</v>
      </c>
      <c r="AE48" s="89" t="s">
        <v>63</v>
      </c>
      <c r="AF48" s="89" t="s">
        <v>64</v>
      </c>
      <c r="AG48" s="89" t="s">
        <v>65</v>
      </c>
      <c r="AH48" s="89" t="s">
        <v>66</v>
      </c>
      <c r="AI48" s="89" t="s">
        <v>67</v>
      </c>
      <c r="AJ48" s="89" t="s">
        <v>68</v>
      </c>
      <c r="AK48" s="89"/>
      <c r="AL48" s="7"/>
      <c r="AM48" s="7"/>
      <c r="AN48" s="7"/>
      <c r="AO48" s="7"/>
      <c r="AP48" s="7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</row>
    <row r="49" spans="1:123" s="5" customFormat="1" ht="27.95" customHeight="1" x14ac:dyDescent="0.2">
      <c r="B49" s="149" t="s">
        <v>123</v>
      </c>
      <c r="C49" s="162">
        <v>405251</v>
      </c>
      <c r="D49" s="120">
        <v>1</v>
      </c>
      <c r="E49" s="121" t="s">
        <v>70</v>
      </c>
      <c r="F49" s="122" t="s">
        <v>225</v>
      </c>
      <c r="G49" s="123" t="s">
        <v>540</v>
      </c>
      <c r="H49" s="120">
        <v>2001</v>
      </c>
      <c r="I49" s="198" t="s">
        <v>226</v>
      </c>
      <c r="J49" s="124" t="s">
        <v>108</v>
      </c>
      <c r="K49" s="125">
        <v>82.65</v>
      </c>
      <c r="L49" s="126">
        <v>86</v>
      </c>
      <c r="M49" s="127">
        <v>-89</v>
      </c>
      <c r="N49" s="127">
        <v>92</v>
      </c>
      <c r="O49" s="54">
        <f t="shared" ref="O49:O52" si="65">IF(E49="","",IF(MAXA(L49:N49)&lt;=0,0,MAXA(L49:N49)))</f>
        <v>92</v>
      </c>
      <c r="P49" s="53">
        <v>117</v>
      </c>
      <c r="Q49" s="53">
        <v>-122</v>
      </c>
      <c r="R49" s="53">
        <v>125</v>
      </c>
      <c r="S49" s="54">
        <f t="shared" ref="S49:S52" si="66">IF(E49="","",IF(MAXA(P49:R49)&lt;=0,0,MAXA(P49:R49)))</f>
        <v>125</v>
      </c>
      <c r="T49" s="55">
        <f t="shared" ref="T49:T52" si="67">IF(E49="","",IF(OR(O49=0,S49=0),0,O49+S49))</f>
        <v>217</v>
      </c>
      <c r="U49" s="56" t="str">
        <f t="shared" ref="U49:U52" si="68">+CONCATENATE(AM49," ",AN49)</f>
        <v>FED + 17</v>
      </c>
      <c r="V49" s="86" t="str">
        <f>IF(E49=0," ",IF(E49="H",IF(OR(E49="SEN",H49&lt;1998),VLOOKUP(K49,Minimas!$A$11:$G$29,6),IF(AND(H49&gt;1997,H49&lt;2001),VLOOKUP(K49,Minimas!$A$11:$G$29,5),IF(AND(H49&gt;2000,H49&lt;2003),VLOOKUP(K49,Minimas!$A$11:$G$29,4),IF(AND(H49&gt;2002,H49&lt;2005),VLOOKUP(K49,Minimas!$A$11:$G$29,3),VLOOKUP(K49,Minimas!$A$11:$G$29,2))))),IF(OR(H49="SEN",H49&lt;1998),VLOOKUP(K49,Minimas!$G$11:$L$26,6),IF(AND(H49&gt;1997,H49&lt;2001),VLOOKUP(K49,Minimas!$G$11:$L$26,5),IF(AND(H49&gt;2000,H49&lt;2003),VLOOKUP(K49,Minimas!$G$11:$L$26,4),IF(AND(H49&gt;2002,H49&lt;2005),VLOOKUP(K49,Minimas!$G$11:$L$26,3),VLOOKUP(K49,Minimas!$G$11:$L$26,2)))))))</f>
        <v>C2 85</v>
      </c>
      <c r="W49" s="62">
        <f t="shared" ref="W49:W52" si="69">IF(E49=" "," ",IF(E49="H",10^(0.75194503*LOG(K49/175.508)^2)*T49,IF(E49="F",10^(0.783497476* LOG(K49/153.655)^2)*T49,"")))</f>
        <v>261.15061386412202</v>
      </c>
      <c r="X49" s="63"/>
      <c r="Y49" s="155" t="s">
        <v>441</v>
      </c>
      <c r="AB49" s="90">
        <f>T49-HLOOKUP(V49,Minimas!$C$1:$BN$10,2,FALSE)</f>
        <v>97</v>
      </c>
      <c r="AC49" s="90">
        <f>T49-HLOOKUP(V49,Minimas!$C$1:$BN$10,3,FALSE)</f>
        <v>77</v>
      </c>
      <c r="AD49" s="90">
        <f>T49-HLOOKUP(V49,Minimas!$C$1:$BN$10,4,FALSE)</f>
        <v>57</v>
      </c>
      <c r="AE49" s="90">
        <f>T49-HLOOKUP(V49,Minimas!$C$1:$BN$10,5,FALSE)</f>
        <v>37</v>
      </c>
      <c r="AF49" s="90">
        <f>T49-HLOOKUP(V49,Minimas!$C$1:$BN$10,6,FALSE)</f>
        <v>17</v>
      </c>
      <c r="AG49" s="90">
        <f>T49-HLOOKUP(V49,Minimas!$C$1:$BN$10,7,FALSE)</f>
        <v>-3</v>
      </c>
      <c r="AH49" s="90">
        <f>T49-HLOOKUP(V49,Minimas!$C$1:$BN$10,8,FALSE)</f>
        <v>-23</v>
      </c>
      <c r="AI49" s="90">
        <f>T49-HLOOKUP(V49,Minimas!$C$1:$BN$10,9,FALSE)</f>
        <v>-43</v>
      </c>
      <c r="AJ49" s="90">
        <f>T49-HLOOKUP(V49,Minimas!$C$1:$BN$10,10,FALSE)</f>
        <v>-9783</v>
      </c>
      <c r="AK49" s="91" t="str">
        <f>IF(E49=0," ",IF(AJ49&gt;=0,$AJ$5,IF(AI49&gt;=0,$AI$5,IF(AH49&gt;=0,$AH$5,IF(AG49&gt;=0,$AG$5,IF(AF49&gt;=0,$AF$5,IF(AE49&gt;=0,$AE$5,IF(AD49&gt;=0,$AD$5,IF(AC49&gt;=0,$AC$5,$AB$5)))))))))</f>
        <v>FED +</v>
      </c>
      <c r="AM49" s="5" t="str">
        <f t="shared" ref="AM49:AM52" si="70">IF(AK49="","",AK49)</f>
        <v>FED +</v>
      </c>
      <c r="AN49" s="5">
        <f t="shared" ref="AN49:AN52" si="71">IF(E49=0," ",IF(AJ49&gt;=0,AJ49,IF(AI49&gt;=0,AI49,IF(AH49&gt;=0,AH49,IF(AG49&gt;=0,AG49,IF(AF49&gt;=0,AF49,IF(AE49&gt;=0,AE49,IF(AD49&gt;=0,AD49,IF(AC49&gt;=0,AC49,AB49)))))))))</f>
        <v>17</v>
      </c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</row>
    <row r="50" spans="1:123" s="5" customFormat="1" ht="27.95" customHeight="1" thickBot="1" x14ac:dyDescent="0.25">
      <c r="B50" s="149" t="s">
        <v>121</v>
      </c>
      <c r="C50" s="162">
        <v>408496</v>
      </c>
      <c r="D50" s="120">
        <v>2</v>
      </c>
      <c r="E50" s="121" t="s">
        <v>70</v>
      </c>
      <c r="F50" s="122" t="s">
        <v>493</v>
      </c>
      <c r="G50" s="123" t="s">
        <v>494</v>
      </c>
      <c r="H50" s="120">
        <v>2001</v>
      </c>
      <c r="I50" s="198" t="s">
        <v>548</v>
      </c>
      <c r="J50" s="124" t="s">
        <v>108</v>
      </c>
      <c r="K50" s="125">
        <v>84.6</v>
      </c>
      <c r="L50" s="126">
        <v>96</v>
      </c>
      <c r="M50" s="127">
        <v>-102</v>
      </c>
      <c r="N50" s="127">
        <v>-102</v>
      </c>
      <c r="O50" s="54">
        <f t="shared" ref="O50" si="72">IF(E50="","",IF(MAXA(L50:N50)&lt;=0,0,MAXA(L50:N50)))</f>
        <v>96</v>
      </c>
      <c r="P50" s="53">
        <v>115</v>
      </c>
      <c r="Q50" s="53">
        <v>-120</v>
      </c>
      <c r="R50" s="53">
        <v>-120</v>
      </c>
      <c r="S50" s="54">
        <f t="shared" ref="S50" si="73">IF(E50="","",IF(MAXA(P50:R50)&lt;=0,0,MAXA(P50:R50)))</f>
        <v>115</v>
      </c>
      <c r="T50" s="55">
        <f t="shared" ref="T50" si="74">IF(E50="","",IF(OR(O50=0,S50=0),0,O50+S50))</f>
        <v>211</v>
      </c>
      <c r="U50" s="56" t="str">
        <f t="shared" ref="U50" si="75">+CONCATENATE(AM50," ",AN50)</f>
        <v>FED + 11</v>
      </c>
      <c r="V50" s="86" t="str">
        <f>IF(E50=0," ",IF(E50="H",IF(OR(E50="SEN",H50&lt;1998),VLOOKUP(K50,Minimas!$A$11:$G$29,6),IF(AND(H50&gt;1997,H50&lt;2001),VLOOKUP(K50,Minimas!$A$11:$G$29,5),IF(AND(H50&gt;2000,H50&lt;2003),VLOOKUP(K50,Minimas!$A$11:$G$29,4),IF(AND(H50&gt;2002,H50&lt;2005),VLOOKUP(K50,Minimas!$A$11:$G$29,3),VLOOKUP(K50,Minimas!$A$11:$G$29,2))))),IF(OR(H50="SEN",H50&lt;1998),VLOOKUP(K50,Minimas!$G$11:$L$26,6),IF(AND(H50&gt;1997,H50&lt;2001),VLOOKUP(K50,Minimas!$G$11:$L$26,5),IF(AND(H50&gt;2000,H50&lt;2003),VLOOKUP(K50,Minimas!$G$11:$L$26,4),IF(AND(H50&gt;2002,H50&lt;2005),VLOOKUP(K50,Minimas!$G$11:$L$26,3),VLOOKUP(K50,Minimas!$G$11:$L$26,2)))))))</f>
        <v>C2 85</v>
      </c>
      <c r="W50" s="62">
        <f t="shared" ref="W50" si="76">IF(E50=" "," ",IF(E50="H",10^(0.75194503*LOG(K50/175.508)^2)*T50,IF(E50="F",10^(0.783497476* LOG(K50/153.655)^2)*T50,"")))</f>
        <v>251.07857169895701</v>
      </c>
      <c r="X50" s="63"/>
      <c r="Y50" s="155" t="s">
        <v>441</v>
      </c>
      <c r="AB50" s="90">
        <f>T50-HLOOKUP(V50,Minimas!$C$1:$BN$10,2,FALSE)</f>
        <v>91</v>
      </c>
      <c r="AC50" s="90">
        <f>T50-HLOOKUP(V50,Minimas!$C$1:$BN$10,3,FALSE)</f>
        <v>71</v>
      </c>
      <c r="AD50" s="90">
        <f>T50-HLOOKUP(V50,Minimas!$C$1:$BN$10,4,FALSE)</f>
        <v>51</v>
      </c>
      <c r="AE50" s="90">
        <f>T50-HLOOKUP(V50,Minimas!$C$1:$BN$10,5,FALSE)</f>
        <v>31</v>
      </c>
      <c r="AF50" s="90">
        <f>T50-HLOOKUP(V50,Minimas!$C$1:$BN$10,6,FALSE)</f>
        <v>11</v>
      </c>
      <c r="AG50" s="90">
        <f>T50-HLOOKUP(V50,Minimas!$C$1:$BN$10,7,FALSE)</f>
        <v>-9</v>
      </c>
      <c r="AH50" s="90">
        <f>T50-HLOOKUP(V50,Minimas!$C$1:$BN$10,8,FALSE)</f>
        <v>-29</v>
      </c>
      <c r="AI50" s="90">
        <f>T50-HLOOKUP(V50,Minimas!$C$1:$BN$10,9,FALSE)</f>
        <v>-49</v>
      </c>
      <c r="AJ50" s="90">
        <f>T50-HLOOKUP(V50,Minimas!$C$1:$BN$10,10,FALSE)</f>
        <v>-9789</v>
      </c>
      <c r="AK50" s="91" t="str">
        <f>IF(E50=0," ",IF(AJ50&gt;=0,$AJ$5,IF(AI50&gt;=0,$AI$5,IF(AH50&gt;=0,$AH$5,IF(AG50&gt;=0,$AG$5,IF(AF50&gt;=0,$AF$5,IF(AE50&gt;=0,$AE$5,IF(AD50&gt;=0,$AD$5,IF(AC50&gt;=0,$AC$5,$AB$5)))))))))</f>
        <v>FED +</v>
      </c>
      <c r="AM50" s="5" t="str">
        <f t="shared" ref="AM50" si="77">IF(AK50="","",AK50)</f>
        <v>FED +</v>
      </c>
      <c r="AN50" s="5">
        <f t="shared" ref="AN50" si="78">IF(E50=0," ",IF(AJ50&gt;=0,AJ50,IF(AI50&gt;=0,AI50,IF(AH50&gt;=0,AH50,IF(AG50&gt;=0,AG50,IF(AF50&gt;=0,AF50,IF(AE50&gt;=0,AE50,IF(AD50&gt;=0,AD50,IF(AC50&gt;=0,AC50,AB50)))))))))</f>
        <v>11</v>
      </c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</row>
    <row r="51" spans="1:123" s="11" customFormat="1" ht="5.0999999999999996" customHeight="1" thickBot="1" x14ac:dyDescent="0.25">
      <c r="A51" s="8"/>
      <c r="B51" s="147"/>
      <c r="C51" s="160"/>
      <c r="D51" s="41"/>
      <c r="E51" s="41"/>
      <c r="F51" s="42"/>
      <c r="G51" s="43"/>
      <c r="H51" s="44"/>
      <c r="I51" s="193"/>
      <c r="J51" s="40"/>
      <c r="K51" s="101"/>
      <c r="L51" s="45"/>
      <c r="M51" s="45"/>
      <c r="N51" s="45"/>
      <c r="O51" s="46"/>
      <c r="P51" s="45"/>
      <c r="Q51" s="45"/>
      <c r="R51" s="45"/>
      <c r="S51" s="46"/>
      <c r="T51" s="46"/>
      <c r="U51" s="41"/>
      <c r="V51" s="48"/>
      <c r="W51" s="47"/>
      <c r="X51" s="7"/>
      <c r="Y51" s="154"/>
      <c r="Z51" s="7"/>
      <c r="AA51" s="7"/>
      <c r="AB51" s="89" t="s">
        <v>60</v>
      </c>
      <c r="AC51" s="89" t="s">
        <v>61</v>
      </c>
      <c r="AD51" s="89" t="s">
        <v>62</v>
      </c>
      <c r="AE51" s="89" t="s">
        <v>63</v>
      </c>
      <c r="AF51" s="89" t="s">
        <v>64</v>
      </c>
      <c r="AG51" s="89" t="s">
        <v>65</v>
      </c>
      <c r="AH51" s="89" t="s">
        <v>66</v>
      </c>
      <c r="AI51" s="89" t="s">
        <v>67</v>
      </c>
      <c r="AJ51" s="89" t="s">
        <v>68</v>
      </c>
      <c r="AK51" s="89"/>
      <c r="AL51" s="7"/>
      <c r="AM51" s="7"/>
      <c r="AN51" s="7"/>
      <c r="AO51" s="7"/>
      <c r="AP51" s="7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</row>
    <row r="52" spans="1:123" s="5" customFormat="1" ht="27.95" customHeight="1" thickBot="1" x14ac:dyDescent="0.25">
      <c r="B52" s="149" t="s">
        <v>189</v>
      </c>
      <c r="C52" s="162">
        <v>357284</v>
      </c>
      <c r="D52" s="120">
        <v>1</v>
      </c>
      <c r="E52" s="121" t="s">
        <v>70</v>
      </c>
      <c r="F52" s="122" t="s">
        <v>495</v>
      </c>
      <c r="G52" s="123" t="s">
        <v>496</v>
      </c>
      <c r="H52" s="120">
        <v>2002</v>
      </c>
      <c r="I52" s="198" t="s">
        <v>549</v>
      </c>
      <c r="J52" s="124" t="s">
        <v>108</v>
      </c>
      <c r="K52" s="125">
        <v>92.6</v>
      </c>
      <c r="L52" s="126">
        <v>-95</v>
      </c>
      <c r="M52" s="127">
        <v>95</v>
      </c>
      <c r="N52" s="127">
        <v>-100</v>
      </c>
      <c r="O52" s="54">
        <f t="shared" si="65"/>
        <v>95</v>
      </c>
      <c r="P52" s="53">
        <v>120</v>
      </c>
      <c r="Q52" s="53">
        <v>-125</v>
      </c>
      <c r="R52" s="53">
        <v>-130</v>
      </c>
      <c r="S52" s="54">
        <f t="shared" si="66"/>
        <v>120</v>
      </c>
      <c r="T52" s="55">
        <f t="shared" si="67"/>
        <v>215</v>
      </c>
      <c r="U52" s="56" t="str">
        <f t="shared" si="68"/>
        <v>FED + 5</v>
      </c>
      <c r="V52" s="86" t="str">
        <f>IF(E52=0," ",IF(E52="H",IF(OR(E52="SEN",H52&lt;1998),VLOOKUP(K52,Minimas!$A$11:$G$29,6),IF(AND(H52&gt;1997,H52&lt;2001),VLOOKUP(K52,Minimas!$A$11:$G$29,5),IF(AND(H52&gt;2000,H52&lt;2003),VLOOKUP(K52,Minimas!$A$11:$G$29,4),IF(AND(H52&gt;2002,H52&lt;2005),VLOOKUP(K52,Minimas!$A$11:$G$29,3),VLOOKUP(K52,Minimas!$A$11:$G$29,2))))),IF(OR(H52="SEN",H52&lt;1998),VLOOKUP(K52,Minimas!$G$11:$L$26,6),IF(AND(H52&gt;1997,H52&lt;2001),VLOOKUP(K52,Minimas!$G$11:$L$26,5),IF(AND(H52&gt;2000,H52&lt;2003),VLOOKUP(K52,Minimas!$G$11:$L$26,4),IF(AND(H52&gt;2002,H52&lt;2005),VLOOKUP(K52,Minimas!$G$11:$L$26,3),VLOOKUP(K52,Minimas!$G$11:$L$26,2)))))))</f>
        <v>C2 94</v>
      </c>
      <c r="W52" s="62">
        <f t="shared" si="69"/>
        <v>245.70870737186178</v>
      </c>
      <c r="X52" s="63"/>
      <c r="Y52" s="155" t="s">
        <v>441</v>
      </c>
      <c r="AB52" s="90">
        <f>T52-HLOOKUP(V52,Minimas!$C$1:$BN$10,2,FALSE)</f>
        <v>90</v>
      </c>
      <c r="AC52" s="90">
        <f>T52-HLOOKUP(V52,Minimas!$C$1:$BN$10,3,FALSE)</f>
        <v>70</v>
      </c>
      <c r="AD52" s="90">
        <f>T52-HLOOKUP(V52,Minimas!$C$1:$BN$10,4,FALSE)</f>
        <v>50</v>
      </c>
      <c r="AE52" s="90">
        <f>T52-HLOOKUP(V52,Minimas!$C$1:$BN$10,5,FALSE)</f>
        <v>30</v>
      </c>
      <c r="AF52" s="90">
        <f>T52-HLOOKUP(V52,Minimas!$C$1:$BN$10,6,FALSE)</f>
        <v>5</v>
      </c>
      <c r="AG52" s="90">
        <f>T52-HLOOKUP(V52,Minimas!$C$1:$BN$10,7,FALSE)</f>
        <v>-10</v>
      </c>
      <c r="AH52" s="90">
        <f>T52-HLOOKUP(V52,Minimas!$C$1:$BN$10,8,FALSE)</f>
        <v>-35</v>
      </c>
      <c r="AI52" s="90">
        <f>T52-HLOOKUP(V52,Minimas!$C$1:$BN$10,9,FALSE)</f>
        <v>-65</v>
      </c>
      <c r="AJ52" s="90">
        <f>T52-HLOOKUP(V52,Minimas!$C$1:$BN$10,10,FALSE)</f>
        <v>-785</v>
      </c>
      <c r="AK52" s="91" t="str">
        <f>IF(E52=0," ",IF(AJ52&gt;=0,$AJ$5,IF(AI52&gt;=0,$AI$5,IF(AH52&gt;=0,$AH$5,IF(AG52&gt;=0,$AG$5,IF(AF52&gt;=0,$AF$5,IF(AE52&gt;=0,$AE$5,IF(AD52&gt;=0,$AD$5,IF(AC52&gt;=0,$AC$5,$AB$5)))))))))</f>
        <v>FED +</v>
      </c>
      <c r="AM52" s="5" t="str">
        <f t="shared" si="70"/>
        <v>FED +</v>
      </c>
      <c r="AN52" s="5">
        <f t="shared" si="71"/>
        <v>5</v>
      </c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</row>
    <row r="53" spans="1:123" s="11" customFormat="1" ht="18" customHeight="1" x14ac:dyDescent="0.2">
      <c r="A53" s="8"/>
      <c r="B53" s="164"/>
      <c r="C53" s="165"/>
      <c r="D53" s="166"/>
      <c r="E53" s="166"/>
      <c r="F53" s="167"/>
      <c r="G53" s="168"/>
      <c r="H53" s="169"/>
      <c r="I53" s="170"/>
      <c r="J53" s="171"/>
      <c r="K53" s="172"/>
      <c r="L53" s="173"/>
      <c r="M53" s="173"/>
      <c r="N53" s="173"/>
      <c r="O53" s="174"/>
      <c r="P53" s="173"/>
      <c r="Q53" s="173"/>
      <c r="R53" s="173"/>
      <c r="S53" s="174"/>
      <c r="T53" s="174"/>
      <c r="U53" s="166"/>
      <c r="V53" s="175"/>
      <c r="W53" s="176"/>
      <c r="X53" s="7"/>
      <c r="Y53" s="177"/>
      <c r="Z53" s="7"/>
      <c r="AA53" s="7"/>
      <c r="AB53" s="89" t="s">
        <v>60</v>
      </c>
      <c r="AC53" s="89" t="s">
        <v>61</v>
      </c>
      <c r="AD53" s="89" t="s">
        <v>62</v>
      </c>
      <c r="AE53" s="89" t="s">
        <v>63</v>
      </c>
      <c r="AF53" s="89" t="s">
        <v>64</v>
      </c>
      <c r="AG53" s="89" t="s">
        <v>65</v>
      </c>
      <c r="AH53" s="89" t="s">
        <v>66</v>
      </c>
      <c r="AI53" s="89" t="s">
        <v>67</v>
      </c>
      <c r="AJ53" s="89" t="s">
        <v>68</v>
      </c>
      <c r="AK53" s="89"/>
      <c r="AL53" s="7"/>
      <c r="AM53" s="7"/>
      <c r="AN53" s="7"/>
      <c r="AO53" s="7"/>
      <c r="AP53" s="7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</row>
    <row r="54" spans="1:123" s="5" customFormat="1" ht="27.95" customHeight="1" x14ac:dyDescent="0.2">
      <c r="B54" s="228" t="s">
        <v>117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5" t="str">
        <f t="shared" ref="Z54" si="79">IF(P54=0," ",MAXA(P54+Q54,Q54+R54,P54+R54))</f>
        <v xml:space="preserve"> </v>
      </c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</row>
    <row r="55" spans="1:123" s="11" customFormat="1" ht="5.0999999999999996" customHeight="1" thickBot="1" x14ac:dyDescent="0.25">
      <c r="A55" s="8"/>
      <c r="B55" s="178"/>
      <c r="C55" s="179"/>
      <c r="D55" s="180"/>
      <c r="E55" s="180"/>
      <c r="F55" s="181"/>
      <c r="G55" s="182"/>
      <c r="H55" s="183"/>
      <c r="I55" s="184"/>
      <c r="J55" s="185"/>
      <c r="K55" s="186"/>
      <c r="L55" s="187"/>
      <c r="M55" s="187"/>
      <c r="N55" s="187"/>
      <c r="O55" s="188"/>
      <c r="P55" s="187"/>
      <c r="Q55" s="187"/>
      <c r="R55" s="187"/>
      <c r="S55" s="188"/>
      <c r="T55" s="188"/>
      <c r="U55" s="180"/>
      <c r="V55" s="189"/>
      <c r="W55" s="190"/>
      <c r="X55" s="7"/>
      <c r="Y55" s="191"/>
      <c r="Z55" s="7"/>
      <c r="AA55" s="7"/>
      <c r="AB55" s="89" t="s">
        <v>60</v>
      </c>
      <c r="AC55" s="89" t="s">
        <v>61</v>
      </c>
      <c r="AD55" s="89" t="s">
        <v>62</v>
      </c>
      <c r="AE55" s="89" t="s">
        <v>63</v>
      </c>
      <c r="AF55" s="89" t="s">
        <v>64</v>
      </c>
      <c r="AG55" s="89" t="s">
        <v>65</v>
      </c>
      <c r="AH55" s="89" t="s">
        <v>66</v>
      </c>
      <c r="AI55" s="89" t="s">
        <v>67</v>
      </c>
      <c r="AJ55" s="89" t="s">
        <v>68</v>
      </c>
      <c r="AK55" s="89"/>
      <c r="AL55" s="7"/>
      <c r="AM55" s="7"/>
      <c r="AN55" s="7"/>
      <c r="AO55" s="7"/>
      <c r="AP55" s="7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</row>
    <row r="56" spans="1:123" s="20" customFormat="1" ht="18" customHeight="1" thickBot="1" x14ac:dyDescent="0.25">
      <c r="A56" s="17"/>
      <c r="B56" s="146" t="s">
        <v>8</v>
      </c>
      <c r="C56" s="153" t="s">
        <v>9</v>
      </c>
      <c r="D56" s="142" t="s">
        <v>6</v>
      </c>
      <c r="E56" s="142" t="s">
        <v>69</v>
      </c>
      <c r="F56" s="210" t="s">
        <v>0</v>
      </c>
      <c r="G56" s="210"/>
      <c r="H56" s="142" t="s">
        <v>11</v>
      </c>
      <c r="I56" s="142" t="s">
        <v>10</v>
      </c>
      <c r="J56" s="64" t="s">
        <v>5</v>
      </c>
      <c r="K56" s="64" t="s">
        <v>1</v>
      </c>
      <c r="L56" s="22">
        <v>1</v>
      </c>
      <c r="M56" s="23">
        <v>2</v>
      </c>
      <c r="N56" s="23">
        <v>3</v>
      </c>
      <c r="O56" s="24" t="s">
        <v>12</v>
      </c>
      <c r="P56" s="22">
        <v>1</v>
      </c>
      <c r="Q56" s="23">
        <v>2</v>
      </c>
      <c r="R56" s="23">
        <v>3</v>
      </c>
      <c r="S56" s="24" t="s">
        <v>13</v>
      </c>
      <c r="T56" s="25" t="s">
        <v>2</v>
      </c>
      <c r="U56" s="64" t="s">
        <v>3</v>
      </c>
      <c r="V56" s="64" t="s">
        <v>7</v>
      </c>
      <c r="W56" s="21" t="s">
        <v>4</v>
      </c>
      <c r="X56" s="61"/>
      <c r="Y56" s="153" t="s">
        <v>313</v>
      </c>
      <c r="Z56" s="18"/>
      <c r="AA56" s="18"/>
      <c r="AB56" s="87" t="s">
        <v>107</v>
      </c>
      <c r="AC56" s="87" t="s">
        <v>106</v>
      </c>
      <c r="AD56" s="87" t="s">
        <v>62</v>
      </c>
      <c r="AE56" s="87" t="s">
        <v>63</v>
      </c>
      <c r="AF56" s="87" t="s">
        <v>64</v>
      </c>
      <c r="AG56" s="87" t="s">
        <v>65</v>
      </c>
      <c r="AH56" s="87" t="s">
        <v>66</v>
      </c>
      <c r="AI56" s="87" t="s">
        <v>67</v>
      </c>
      <c r="AJ56" s="87" t="s">
        <v>68</v>
      </c>
      <c r="AK56" s="88"/>
      <c r="AL56" s="19"/>
      <c r="AM56" s="19"/>
      <c r="AN56" s="19"/>
      <c r="AO56" s="19"/>
      <c r="AP56" s="19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</row>
    <row r="57" spans="1:123" s="11" customFormat="1" ht="5.0999999999999996" customHeight="1" thickBot="1" x14ac:dyDescent="0.25">
      <c r="A57" s="8"/>
      <c r="B57" s="147"/>
      <c r="C57" s="160"/>
      <c r="D57" s="41"/>
      <c r="E57" s="41"/>
      <c r="F57" s="42"/>
      <c r="G57" s="43"/>
      <c r="H57" s="44"/>
      <c r="I57" s="193"/>
      <c r="J57" s="40"/>
      <c r="K57" s="101"/>
      <c r="L57" s="45"/>
      <c r="M57" s="45"/>
      <c r="N57" s="45"/>
      <c r="O57" s="46"/>
      <c r="P57" s="45"/>
      <c r="Q57" s="45"/>
      <c r="R57" s="45"/>
      <c r="S57" s="46"/>
      <c r="T57" s="46"/>
      <c r="U57" s="41"/>
      <c r="V57" s="48"/>
      <c r="W57" s="47"/>
      <c r="X57" s="7"/>
      <c r="Y57" s="154"/>
      <c r="Z57" s="7"/>
      <c r="AA57" s="7"/>
      <c r="AB57" s="89" t="s">
        <v>60</v>
      </c>
      <c r="AC57" s="89" t="s">
        <v>61</v>
      </c>
      <c r="AD57" s="89" t="s">
        <v>62</v>
      </c>
      <c r="AE57" s="89" t="s">
        <v>63</v>
      </c>
      <c r="AF57" s="89" t="s">
        <v>64</v>
      </c>
      <c r="AG57" s="89" t="s">
        <v>65</v>
      </c>
      <c r="AH57" s="89" t="s">
        <v>66</v>
      </c>
      <c r="AI57" s="89" t="s">
        <v>67</v>
      </c>
      <c r="AJ57" s="89" t="s">
        <v>68</v>
      </c>
      <c r="AK57" s="89"/>
      <c r="AL57" s="7"/>
      <c r="AM57" s="7"/>
      <c r="AN57" s="7"/>
      <c r="AO57" s="7"/>
      <c r="AP57" s="7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</row>
    <row r="58" spans="1:123" s="5" customFormat="1" ht="27.95" customHeight="1" thickBot="1" x14ac:dyDescent="0.25">
      <c r="B58" s="148" t="s">
        <v>125</v>
      </c>
      <c r="C58" s="161">
        <v>430657</v>
      </c>
      <c r="D58" s="92">
        <v>1</v>
      </c>
      <c r="E58" s="84" t="s">
        <v>70</v>
      </c>
      <c r="F58" s="36" t="s">
        <v>240</v>
      </c>
      <c r="G58" s="37" t="s">
        <v>661</v>
      </c>
      <c r="H58" s="92">
        <v>2000</v>
      </c>
      <c r="I58" s="192" t="s">
        <v>578</v>
      </c>
      <c r="J58" s="35" t="s">
        <v>108</v>
      </c>
      <c r="K58" s="103">
        <v>55.5</v>
      </c>
      <c r="L58" s="38">
        <v>55</v>
      </c>
      <c r="M58" s="39">
        <v>-58</v>
      </c>
      <c r="N58" s="39">
        <v>58</v>
      </c>
      <c r="O58" s="54">
        <f t="shared" ref="O58:O86" si="80">IF(E58="","",IF(MAXA(L58:N58)&lt;=0,0,MAXA(L58:N58)))</f>
        <v>58</v>
      </c>
      <c r="P58" s="53">
        <v>83</v>
      </c>
      <c r="Q58" s="53">
        <v>87</v>
      </c>
      <c r="R58" s="53">
        <v>-90</v>
      </c>
      <c r="S58" s="54">
        <f t="shared" ref="S58:S86" si="81">IF(E58="","",IF(MAXA(P58:R58)&lt;=0,0,MAXA(P58:R58)))</f>
        <v>87</v>
      </c>
      <c r="T58" s="55">
        <f t="shared" ref="T58:T86" si="82">IF(E58="","",IF(OR(O58=0,S58=0),0,O58+S58))</f>
        <v>145</v>
      </c>
      <c r="U58" s="56" t="str">
        <f t="shared" ref="U58:U86" si="83">+CONCATENATE(AM58," ",AN58)</f>
        <v>FED + 0</v>
      </c>
      <c r="V58" s="86" t="str">
        <f>IF(E58=0," ",IF(E58="H",IF(OR(E58="SEN",H58&lt;1998),VLOOKUP(K58,Minimas!$A$11:$G$29,6),IF(AND(H58&gt;1997,H58&lt;2001),VLOOKUP(K58,Minimas!$A$11:$G$29,5),IF(AND(H58&gt;2000,H58&lt;2003),VLOOKUP(K58,Minimas!$A$11:$G$29,4),IF(AND(H58&gt;2002,H58&lt;2005),VLOOKUP(K58,Minimas!$A$11:$G$29,3),VLOOKUP(K58,Minimas!$A$11:$G$29,2))))),IF(OR(H58="SEN",H58&lt;1998),VLOOKUP(K58,Minimas!$G$11:$L$26,6),IF(AND(H58&gt;1997,H58&lt;2001),VLOOKUP(K58,Minimas!$G$11:$L$26,5),IF(AND(H58&gt;2000,H58&lt;2003),VLOOKUP(K58,Minimas!$G$11:$L$26,4),IF(AND(H58&gt;2002,H58&lt;2005),VLOOKUP(K58,Minimas!$G$11:$L$26,3),VLOOKUP(K58,Minimas!$G$11:$L$26,2)))))))</f>
        <v>J 56</v>
      </c>
      <c r="W58" s="62">
        <f t="shared" ref="W58:W86" si="84">IF(E58=" "," ",IF(E58="H",10^(0.75194503*LOG(K58/175.508)^2)*T58,IF(E58="F",10^(0.783497476* LOG(K58/153.655)^2)*T58,"")))</f>
        <v>223.54101472053168</v>
      </c>
      <c r="X58" s="63"/>
      <c r="Y58" s="157" t="s">
        <v>131</v>
      </c>
      <c r="AB58" s="90">
        <f>T58-HLOOKUP(V58,Minimas!$C$1:$BN$10,2,FALSE)</f>
        <v>65</v>
      </c>
      <c r="AC58" s="90">
        <f>T58-HLOOKUP(V58,Minimas!$C$1:$BN$10,3,FALSE)</f>
        <v>45</v>
      </c>
      <c r="AD58" s="90">
        <f>T58-HLOOKUP(V58,Minimas!$C$1:$BN$10,4,FALSE)</f>
        <v>30</v>
      </c>
      <c r="AE58" s="90">
        <f>T58-HLOOKUP(V58,Minimas!$C$1:$BN$10,5,FALSE)</f>
        <v>15</v>
      </c>
      <c r="AF58" s="90">
        <f>T58-HLOOKUP(V58,Minimas!$C$1:$BN$10,6,FALSE)</f>
        <v>0</v>
      </c>
      <c r="AG58" s="90">
        <f>T58-HLOOKUP(V58,Minimas!$C$1:$BN$10,7,FALSE)</f>
        <v>-25</v>
      </c>
      <c r="AH58" s="90">
        <f>T58-HLOOKUP(V58,Minimas!$C$1:$BN$10,8,FALSE)</f>
        <v>-45</v>
      </c>
      <c r="AI58" s="90">
        <f>T58-HLOOKUP(V58,Minimas!$C$1:$BN$10,9,FALSE)</f>
        <v>-65</v>
      </c>
      <c r="AJ58" s="90">
        <f>T58-HLOOKUP(V58,Minimas!$C$1:$BN$10,10,FALSE)</f>
        <v>-855</v>
      </c>
      <c r="AK58" s="91" t="str">
        <f>IF(E58=0," ",IF(AJ58&gt;=0,$AJ$5,IF(AI58&gt;=0,$AI$5,IF(AH58&gt;=0,$AH$5,IF(AG58&gt;=0,$AG$5,IF(AF58&gt;=0,$AF$5,IF(AE58&gt;=0,$AE$5,IF(AD58&gt;=0,$AD$5,IF(AC58&gt;=0,$AC$5,$AB$5)))))))))</f>
        <v>FED +</v>
      </c>
      <c r="AM58" s="5" t="str">
        <f t="shared" ref="AM58:AM86" si="85">IF(AK58="","",AK58)</f>
        <v>FED +</v>
      </c>
      <c r="AN58" s="5">
        <f t="shared" ref="AN58:AN86" si="86">IF(E58=0," ",IF(AJ58&gt;=0,AJ58,IF(AI58&gt;=0,AI58,IF(AH58&gt;=0,AH58,IF(AG58&gt;=0,AG58,IF(AF58&gt;=0,AF58,IF(AE58&gt;=0,AE58,IF(AD58&gt;=0,AD58,IF(AC58&gt;=0,AC58,AB58)))))))))</f>
        <v>0</v>
      </c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</row>
    <row r="59" spans="1:123" s="11" customFormat="1" ht="5.0999999999999996" customHeight="1" thickBot="1" x14ac:dyDescent="0.25">
      <c r="A59" s="8"/>
      <c r="B59" s="147"/>
      <c r="C59" s="160"/>
      <c r="D59" s="41"/>
      <c r="E59" s="41"/>
      <c r="F59" s="42"/>
      <c r="G59" s="43"/>
      <c r="H59" s="44"/>
      <c r="I59" s="193"/>
      <c r="J59" s="40"/>
      <c r="K59" s="101"/>
      <c r="L59" s="45"/>
      <c r="M59" s="45"/>
      <c r="N59" s="45"/>
      <c r="O59" s="46"/>
      <c r="P59" s="45"/>
      <c r="Q59" s="45"/>
      <c r="R59" s="45"/>
      <c r="S59" s="46"/>
      <c r="T59" s="46"/>
      <c r="U59" s="41"/>
      <c r="V59" s="48"/>
      <c r="W59" s="47"/>
      <c r="X59" s="7"/>
      <c r="Y59" s="154"/>
      <c r="Z59" s="7"/>
      <c r="AA59" s="7"/>
      <c r="AB59" s="89" t="s">
        <v>60</v>
      </c>
      <c r="AC59" s="89" t="s">
        <v>61</v>
      </c>
      <c r="AD59" s="89" t="s">
        <v>62</v>
      </c>
      <c r="AE59" s="89" t="s">
        <v>63</v>
      </c>
      <c r="AF59" s="89" t="s">
        <v>64</v>
      </c>
      <c r="AG59" s="89" t="s">
        <v>65</v>
      </c>
      <c r="AH59" s="89" t="s">
        <v>66</v>
      </c>
      <c r="AI59" s="89" t="s">
        <v>67</v>
      </c>
      <c r="AJ59" s="89" t="s">
        <v>68</v>
      </c>
      <c r="AK59" s="89"/>
      <c r="AL59" s="7"/>
      <c r="AM59" s="7"/>
      <c r="AN59" s="7"/>
      <c r="AO59" s="7"/>
      <c r="AP59" s="7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</row>
    <row r="60" spans="1:123" s="5" customFormat="1" ht="27.95" customHeight="1" x14ac:dyDescent="0.2">
      <c r="B60" s="148" t="s">
        <v>134</v>
      </c>
      <c r="C60" s="161">
        <v>250368</v>
      </c>
      <c r="D60" s="92">
        <v>1</v>
      </c>
      <c r="E60" s="84" t="s">
        <v>70</v>
      </c>
      <c r="F60" s="36" t="s">
        <v>241</v>
      </c>
      <c r="G60" s="37" t="s">
        <v>662</v>
      </c>
      <c r="H60" s="92">
        <v>1999</v>
      </c>
      <c r="I60" s="192" t="s">
        <v>550</v>
      </c>
      <c r="J60" s="35" t="s">
        <v>108</v>
      </c>
      <c r="K60" s="103">
        <v>61.1</v>
      </c>
      <c r="L60" s="38">
        <v>-80</v>
      </c>
      <c r="M60" s="39">
        <v>-80</v>
      </c>
      <c r="N60" s="39">
        <v>80</v>
      </c>
      <c r="O60" s="54">
        <f t="shared" ref="O60:O61" si="87">IF(E60="","",IF(MAXA(L60:N60)&lt;=0,0,MAXA(L60:N60)))</f>
        <v>80</v>
      </c>
      <c r="P60" s="53">
        <v>100</v>
      </c>
      <c r="Q60" s="53">
        <v>-110</v>
      </c>
      <c r="R60" s="53">
        <v>-110</v>
      </c>
      <c r="S60" s="54">
        <f t="shared" ref="S60:S61" si="88">IF(E60="","",IF(MAXA(P60:R60)&lt;=0,0,MAXA(P60:R60)))</f>
        <v>100</v>
      </c>
      <c r="T60" s="55">
        <f t="shared" ref="T60:T61" si="89">IF(E60="","",IF(OR(O60=0,S60=0),0,O60+S60))</f>
        <v>180</v>
      </c>
      <c r="U60" s="56" t="str">
        <f t="shared" ref="U60:U61" si="90">+CONCATENATE(AM60," ",AN60)</f>
        <v>FED + 10</v>
      </c>
      <c r="V60" s="86" t="str">
        <f>IF(E60=0," ",IF(E60="H",IF(OR(E60="SEN",H60&lt;1998),VLOOKUP(K60,Minimas!$A$11:$G$29,6),IF(AND(H60&gt;1997,H60&lt;2001),VLOOKUP(K60,Minimas!$A$11:$G$29,5),IF(AND(H60&gt;2000,H60&lt;2003),VLOOKUP(K60,Minimas!$A$11:$G$29,4),IF(AND(H60&gt;2002,H60&lt;2005),VLOOKUP(K60,Minimas!$A$11:$G$29,3),VLOOKUP(K60,Minimas!$A$11:$G$29,2))))),IF(OR(H60="SEN",H60&lt;1998),VLOOKUP(K60,Minimas!$G$11:$L$26,6),IF(AND(H60&gt;1997,H60&lt;2001),VLOOKUP(K60,Minimas!$G$11:$L$26,5),IF(AND(H60&gt;2000,H60&lt;2003),VLOOKUP(K60,Minimas!$G$11:$L$26,4),IF(AND(H60&gt;2002,H60&lt;2005),VLOOKUP(K60,Minimas!$G$11:$L$26,3),VLOOKUP(K60,Minimas!$G$11:$L$26,2)))))))</f>
        <v>J 62</v>
      </c>
      <c r="W60" s="62">
        <f t="shared" ref="W60:W61" si="91">IF(E60=" "," ",IF(E60="H",10^(0.75194503*LOG(K60/175.508)^2)*T60,IF(E60="F",10^(0.783497476* LOG(K60/153.655)^2)*T60,"")))</f>
        <v>258.92839412208463</v>
      </c>
      <c r="X60" s="63"/>
      <c r="Y60" s="155" t="s">
        <v>441</v>
      </c>
      <c r="AB60" s="90">
        <f>T60-HLOOKUP(V60,Minimas!$C$1:$BN$10,2,FALSE)</f>
        <v>90</v>
      </c>
      <c r="AC60" s="90">
        <f>T60-HLOOKUP(V60,Minimas!$C$1:$BN$10,3,FALSE)</f>
        <v>65</v>
      </c>
      <c r="AD60" s="90">
        <f>T60-HLOOKUP(V60,Minimas!$C$1:$BN$10,4,FALSE)</f>
        <v>45</v>
      </c>
      <c r="AE60" s="90">
        <f>T60-HLOOKUP(V60,Minimas!$C$1:$BN$10,5,FALSE)</f>
        <v>30</v>
      </c>
      <c r="AF60" s="90">
        <f>T60-HLOOKUP(V60,Minimas!$C$1:$BN$10,6,FALSE)</f>
        <v>10</v>
      </c>
      <c r="AG60" s="90">
        <f>T60-HLOOKUP(V60,Minimas!$C$1:$BN$10,7,FALSE)</f>
        <v>-10</v>
      </c>
      <c r="AH60" s="90">
        <f>T60-HLOOKUP(V60,Minimas!$C$1:$BN$10,8,FALSE)</f>
        <v>-30</v>
      </c>
      <c r="AI60" s="90">
        <f>T60-HLOOKUP(V60,Minimas!$C$1:$BN$10,9,FALSE)</f>
        <v>-50</v>
      </c>
      <c r="AJ60" s="90">
        <f>T60-HLOOKUP(V60,Minimas!$C$1:$BN$10,10,FALSE)</f>
        <v>-820</v>
      </c>
      <c r="AK60" s="91" t="str">
        <f>IF(E60=0," ",IF(AJ60&gt;=0,$AJ$5,IF(AI60&gt;=0,$AI$5,IF(AH60&gt;=0,$AH$5,IF(AG60&gt;=0,$AG$5,IF(AF60&gt;=0,$AF$5,IF(AE60&gt;=0,$AE$5,IF(AD60&gt;=0,$AD$5,IF(AC60&gt;=0,$AC$5,$AB$5)))))))))</f>
        <v>FED +</v>
      </c>
      <c r="AM60" s="5" t="str">
        <f t="shared" ref="AM60:AM61" si="92">IF(AK60="","",AK60)</f>
        <v>FED +</v>
      </c>
      <c r="AN60" s="5">
        <f t="shared" ref="AN60:AN61" si="93">IF(E60=0," ",IF(AJ60&gt;=0,AJ60,IF(AI60&gt;=0,AI60,IF(AH60&gt;=0,AH60,IF(AG60&gt;=0,AG60,IF(AF60&gt;=0,AF60,IF(AE60&gt;=0,AE60,IF(AD60&gt;=0,AD60,IF(AC60&gt;=0,AC60,AB60)))))))))</f>
        <v>10</v>
      </c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</row>
    <row r="61" spans="1:123" s="5" customFormat="1" ht="27.95" customHeight="1" x14ac:dyDescent="0.2">
      <c r="B61" s="148" t="s">
        <v>125</v>
      </c>
      <c r="C61" s="161">
        <v>422752</v>
      </c>
      <c r="D61" s="92">
        <v>2</v>
      </c>
      <c r="E61" s="84" t="s">
        <v>70</v>
      </c>
      <c r="F61" s="36" t="s">
        <v>392</v>
      </c>
      <c r="G61" s="37" t="s">
        <v>393</v>
      </c>
      <c r="H61" s="92">
        <v>1998</v>
      </c>
      <c r="I61" s="192" t="s">
        <v>551</v>
      </c>
      <c r="J61" s="35" t="s">
        <v>108</v>
      </c>
      <c r="K61" s="103">
        <v>60.9</v>
      </c>
      <c r="L61" s="38">
        <v>77</v>
      </c>
      <c r="M61" s="39">
        <v>-81</v>
      </c>
      <c r="N61" s="39">
        <v>-85</v>
      </c>
      <c r="O61" s="54">
        <f t="shared" si="87"/>
        <v>77</v>
      </c>
      <c r="P61" s="53">
        <v>92</v>
      </c>
      <c r="Q61" s="53">
        <v>-100</v>
      </c>
      <c r="R61" s="53">
        <v>100</v>
      </c>
      <c r="S61" s="54">
        <f t="shared" si="88"/>
        <v>100</v>
      </c>
      <c r="T61" s="55">
        <f t="shared" si="89"/>
        <v>177</v>
      </c>
      <c r="U61" s="56" t="str">
        <f t="shared" si="90"/>
        <v>FED + 7</v>
      </c>
      <c r="V61" s="86" t="str">
        <f>IF(E61=0," ",IF(E61="H",IF(OR(E61="SEN",H61&lt;1998),VLOOKUP(K61,Minimas!$A$11:$G$29,6),IF(AND(H61&gt;1997,H61&lt;2001),VLOOKUP(K61,Minimas!$A$11:$G$29,5),IF(AND(H61&gt;2000,H61&lt;2003),VLOOKUP(K61,Minimas!$A$11:$G$29,4),IF(AND(H61&gt;2002,H61&lt;2005),VLOOKUP(K61,Minimas!$A$11:$G$29,3),VLOOKUP(K61,Minimas!$A$11:$G$29,2))))),IF(OR(H61="SEN",H61&lt;1998),VLOOKUP(K61,Minimas!$G$11:$L$26,6),IF(AND(H61&gt;1997,H61&lt;2001),VLOOKUP(K61,Minimas!$G$11:$L$26,5),IF(AND(H61&gt;2000,H61&lt;2003),VLOOKUP(K61,Minimas!$G$11:$L$26,4),IF(AND(H61&gt;2002,H61&lt;2005),VLOOKUP(K61,Minimas!$G$11:$L$26,3),VLOOKUP(K61,Minimas!$G$11:$L$26,2)))))))</f>
        <v>J 62</v>
      </c>
      <c r="W61" s="62">
        <f t="shared" si="91"/>
        <v>255.18978122622818</v>
      </c>
      <c r="X61" s="63"/>
      <c r="Y61" s="155" t="s">
        <v>441</v>
      </c>
      <c r="AB61" s="90">
        <f>T61-HLOOKUP(V61,Minimas!$C$1:$BN$10,2,FALSE)</f>
        <v>87</v>
      </c>
      <c r="AC61" s="90">
        <f>T61-HLOOKUP(V61,Minimas!$C$1:$BN$10,3,FALSE)</f>
        <v>62</v>
      </c>
      <c r="AD61" s="90">
        <f>T61-HLOOKUP(V61,Minimas!$C$1:$BN$10,4,FALSE)</f>
        <v>42</v>
      </c>
      <c r="AE61" s="90">
        <f>T61-HLOOKUP(V61,Minimas!$C$1:$BN$10,5,FALSE)</f>
        <v>27</v>
      </c>
      <c r="AF61" s="90">
        <f>T61-HLOOKUP(V61,Minimas!$C$1:$BN$10,6,FALSE)</f>
        <v>7</v>
      </c>
      <c r="AG61" s="90">
        <f>T61-HLOOKUP(V61,Minimas!$C$1:$BN$10,7,FALSE)</f>
        <v>-13</v>
      </c>
      <c r="AH61" s="90">
        <f>T61-HLOOKUP(V61,Minimas!$C$1:$BN$10,8,FALSE)</f>
        <v>-33</v>
      </c>
      <c r="AI61" s="90">
        <f>T61-HLOOKUP(V61,Minimas!$C$1:$BN$10,9,FALSE)</f>
        <v>-53</v>
      </c>
      <c r="AJ61" s="90">
        <f>T61-HLOOKUP(V61,Minimas!$C$1:$BN$10,10,FALSE)</f>
        <v>-823</v>
      </c>
      <c r="AK61" s="91" t="str">
        <f>IF(E61=0," ",IF(AJ61&gt;=0,$AJ$5,IF(AI61&gt;=0,$AI$5,IF(AH61&gt;=0,$AH$5,IF(AG61&gt;=0,$AG$5,IF(AF61&gt;=0,$AF$5,IF(AE61&gt;=0,$AE$5,IF(AD61&gt;=0,$AD$5,IF(AC61&gt;=0,$AC$5,$AB$5)))))))))</f>
        <v>FED +</v>
      </c>
      <c r="AM61" s="5" t="str">
        <f t="shared" si="92"/>
        <v>FED +</v>
      </c>
      <c r="AN61" s="5">
        <f t="shared" si="93"/>
        <v>7</v>
      </c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</row>
    <row r="62" spans="1:123" s="5" customFormat="1" ht="27.95" customHeight="1" x14ac:dyDescent="0.2">
      <c r="B62" s="148" t="s">
        <v>123</v>
      </c>
      <c r="C62" s="161">
        <v>273033</v>
      </c>
      <c r="D62" s="92">
        <v>3</v>
      </c>
      <c r="E62" s="84" t="s">
        <v>70</v>
      </c>
      <c r="F62" s="36" t="s">
        <v>394</v>
      </c>
      <c r="G62" s="37" t="s">
        <v>663</v>
      </c>
      <c r="H62" s="92">
        <v>1998</v>
      </c>
      <c r="I62" s="192" t="s">
        <v>239</v>
      </c>
      <c r="J62" s="35" t="s">
        <v>108</v>
      </c>
      <c r="K62" s="103">
        <v>62</v>
      </c>
      <c r="L62" s="38">
        <v>76</v>
      </c>
      <c r="M62" s="39">
        <v>80</v>
      </c>
      <c r="N62" s="39">
        <v>-85</v>
      </c>
      <c r="O62" s="54">
        <f t="shared" si="80"/>
        <v>80</v>
      </c>
      <c r="P62" s="53">
        <v>-95</v>
      </c>
      <c r="Q62" s="53">
        <v>95</v>
      </c>
      <c r="R62" s="53">
        <v>-100</v>
      </c>
      <c r="S62" s="54">
        <f t="shared" si="81"/>
        <v>95</v>
      </c>
      <c r="T62" s="55">
        <f t="shared" si="82"/>
        <v>175</v>
      </c>
      <c r="U62" s="56" t="str">
        <f t="shared" si="83"/>
        <v>FED + 5</v>
      </c>
      <c r="V62" s="86" t="str">
        <f>IF(E62=0," ",IF(E62="H",IF(OR(E62="SEN",H62&lt;1998),VLOOKUP(K62,Minimas!$A$11:$G$29,6),IF(AND(H62&gt;1997,H62&lt;2001),VLOOKUP(K62,Minimas!$A$11:$G$29,5),IF(AND(H62&gt;2000,H62&lt;2003),VLOOKUP(K62,Minimas!$A$11:$G$29,4),IF(AND(H62&gt;2002,H62&lt;2005),VLOOKUP(K62,Minimas!$A$11:$G$29,3),VLOOKUP(K62,Minimas!$A$11:$G$29,2))))),IF(OR(H62="SEN",H62&lt;1998),VLOOKUP(K62,Minimas!$G$11:$L$26,6),IF(AND(H62&gt;1997,H62&lt;2001),VLOOKUP(K62,Minimas!$G$11:$L$26,5),IF(AND(H62&gt;2000,H62&lt;2003),VLOOKUP(K62,Minimas!$G$11:$L$26,4),IF(AND(H62&gt;2002,H62&lt;2005),VLOOKUP(K62,Minimas!$G$11:$L$26,3),VLOOKUP(K62,Minimas!$G$11:$L$26,2)))))))</f>
        <v>J 62</v>
      </c>
      <c r="W62" s="62">
        <f t="shared" si="84"/>
        <v>249.22925003116515</v>
      </c>
      <c r="X62" s="63"/>
      <c r="Y62" s="156" t="s">
        <v>319</v>
      </c>
      <c r="AB62" s="90">
        <f>T62-HLOOKUP(V62,Minimas!$C$1:$BN$10,2,FALSE)</f>
        <v>85</v>
      </c>
      <c r="AC62" s="90">
        <f>T62-HLOOKUP(V62,Minimas!$C$1:$BN$10,3,FALSE)</f>
        <v>60</v>
      </c>
      <c r="AD62" s="90">
        <f>T62-HLOOKUP(V62,Minimas!$C$1:$BN$10,4,FALSE)</f>
        <v>40</v>
      </c>
      <c r="AE62" s="90">
        <f>T62-HLOOKUP(V62,Minimas!$C$1:$BN$10,5,FALSE)</f>
        <v>25</v>
      </c>
      <c r="AF62" s="90">
        <f>T62-HLOOKUP(V62,Minimas!$C$1:$BN$10,6,FALSE)</f>
        <v>5</v>
      </c>
      <c r="AG62" s="90">
        <f>T62-HLOOKUP(V62,Minimas!$C$1:$BN$10,7,FALSE)</f>
        <v>-15</v>
      </c>
      <c r="AH62" s="90">
        <f>T62-HLOOKUP(V62,Minimas!$C$1:$BN$10,8,FALSE)</f>
        <v>-35</v>
      </c>
      <c r="AI62" s="90">
        <f>T62-HLOOKUP(V62,Minimas!$C$1:$BN$10,9,FALSE)</f>
        <v>-55</v>
      </c>
      <c r="AJ62" s="90">
        <f>T62-HLOOKUP(V62,Minimas!$C$1:$BN$10,10,FALSE)</f>
        <v>-825</v>
      </c>
      <c r="AK62" s="91" t="str">
        <f>IF(E62=0," ",IF(AJ62&gt;=0,$AJ$5,IF(AI62&gt;=0,$AI$5,IF(AH62&gt;=0,$AH$5,IF(AG62&gt;=0,$AG$5,IF(AF62&gt;=0,$AF$5,IF(AE62&gt;=0,$AE$5,IF(AD62&gt;=0,$AD$5,IF(AC62&gt;=0,$AC$5,$AB$5)))))))))</f>
        <v>FED +</v>
      </c>
      <c r="AM62" s="5" t="str">
        <f t="shared" si="85"/>
        <v>FED +</v>
      </c>
      <c r="AN62" s="5">
        <f t="shared" si="86"/>
        <v>5</v>
      </c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</row>
    <row r="63" spans="1:123" s="5" customFormat="1" ht="27.95" customHeight="1" thickBot="1" x14ac:dyDescent="0.25">
      <c r="B63" s="148" t="s">
        <v>120</v>
      </c>
      <c r="C63" s="161">
        <v>401105</v>
      </c>
      <c r="D63" s="92">
        <v>4</v>
      </c>
      <c r="E63" s="84" t="s">
        <v>70</v>
      </c>
      <c r="F63" s="36" t="s">
        <v>242</v>
      </c>
      <c r="G63" s="37" t="s">
        <v>243</v>
      </c>
      <c r="H63" s="92">
        <v>2000</v>
      </c>
      <c r="I63" s="192" t="s">
        <v>133</v>
      </c>
      <c r="J63" s="35" t="s">
        <v>108</v>
      </c>
      <c r="K63" s="103">
        <v>61.29</v>
      </c>
      <c r="L63" s="38">
        <v>72</v>
      </c>
      <c r="M63" s="39">
        <v>75</v>
      </c>
      <c r="N63" s="39">
        <v>77</v>
      </c>
      <c r="O63" s="54">
        <f t="shared" ref="O63" si="94">IF(E63="","",IF(MAXA(L63:N63)&lt;=0,0,MAXA(L63:N63)))</f>
        <v>77</v>
      </c>
      <c r="P63" s="53">
        <v>-90</v>
      </c>
      <c r="Q63" s="53">
        <v>93</v>
      </c>
      <c r="R63" s="53">
        <v>-97</v>
      </c>
      <c r="S63" s="54">
        <f t="shared" ref="S63" si="95">IF(E63="","",IF(MAXA(P63:R63)&lt;=0,0,MAXA(P63:R63)))</f>
        <v>93</v>
      </c>
      <c r="T63" s="55">
        <f t="shared" ref="T63" si="96">IF(E63="","",IF(OR(O63=0,S63=0),0,O63+S63))</f>
        <v>170</v>
      </c>
      <c r="U63" s="56" t="str">
        <f t="shared" ref="U63" si="97">+CONCATENATE(AM63," ",AN63)</f>
        <v>FED + 0</v>
      </c>
      <c r="V63" s="86" t="str">
        <f>IF(E63=0," ",IF(E63="H",IF(OR(E63="SEN",H63&lt;1998),VLOOKUP(K63,Minimas!$A$11:$G$29,6),IF(AND(H63&gt;1997,H63&lt;2001),VLOOKUP(K63,Minimas!$A$11:$G$29,5),IF(AND(H63&gt;2000,H63&lt;2003),VLOOKUP(K63,Minimas!$A$11:$G$29,4),IF(AND(H63&gt;2002,H63&lt;2005),VLOOKUP(K63,Minimas!$A$11:$G$29,3),VLOOKUP(K63,Minimas!$A$11:$G$29,2))))),IF(OR(H63="SEN",H63&lt;1998),VLOOKUP(K63,Minimas!$G$11:$L$26,6),IF(AND(H63&gt;1997,H63&lt;2001),VLOOKUP(K63,Minimas!$G$11:$L$26,5),IF(AND(H63&gt;2000,H63&lt;2003),VLOOKUP(K63,Minimas!$G$11:$L$26,4),IF(AND(H63&gt;2002,H63&lt;2005),VLOOKUP(K63,Minimas!$G$11:$L$26,3),VLOOKUP(K63,Minimas!$G$11:$L$26,2)))))))</f>
        <v>J 62</v>
      </c>
      <c r="W63" s="62">
        <f t="shared" ref="W63" si="98">IF(E63=" "," ",IF(E63="H",10^(0.75194503*LOG(K63/175.508)^2)*T63,IF(E63="F",10^(0.783497476* LOG(K63/153.655)^2)*T63,"")))</f>
        <v>244.02155031039194</v>
      </c>
      <c r="X63" s="63"/>
      <c r="Y63" s="157" t="s">
        <v>131</v>
      </c>
      <c r="AB63" s="90">
        <f>T63-HLOOKUP(V63,Minimas!$C$1:$BN$10,2,FALSE)</f>
        <v>80</v>
      </c>
      <c r="AC63" s="90">
        <f>T63-HLOOKUP(V63,Minimas!$C$1:$BN$10,3,FALSE)</f>
        <v>55</v>
      </c>
      <c r="AD63" s="90">
        <f>T63-HLOOKUP(V63,Minimas!$C$1:$BN$10,4,FALSE)</f>
        <v>35</v>
      </c>
      <c r="AE63" s="90">
        <f>T63-HLOOKUP(V63,Minimas!$C$1:$BN$10,5,FALSE)</f>
        <v>20</v>
      </c>
      <c r="AF63" s="90">
        <f>T63-HLOOKUP(V63,Minimas!$C$1:$BN$10,6,FALSE)</f>
        <v>0</v>
      </c>
      <c r="AG63" s="90">
        <f>T63-HLOOKUP(V63,Minimas!$C$1:$BN$10,7,FALSE)</f>
        <v>-20</v>
      </c>
      <c r="AH63" s="90">
        <f>T63-HLOOKUP(V63,Minimas!$C$1:$BN$10,8,FALSE)</f>
        <v>-40</v>
      </c>
      <c r="AI63" s="90">
        <f>T63-HLOOKUP(V63,Minimas!$C$1:$BN$10,9,FALSE)</f>
        <v>-60</v>
      </c>
      <c r="AJ63" s="90">
        <f>T63-HLOOKUP(V63,Minimas!$C$1:$BN$10,10,FALSE)</f>
        <v>-830</v>
      </c>
      <c r="AK63" s="91" t="str">
        <f>IF(E63=0," ",IF(AJ63&gt;=0,$AJ$5,IF(AI63&gt;=0,$AI$5,IF(AH63&gt;=0,$AH$5,IF(AG63&gt;=0,$AG$5,IF(AF63&gt;=0,$AF$5,IF(AE63&gt;=0,$AE$5,IF(AD63&gt;=0,$AD$5,IF(AC63&gt;=0,$AC$5,$AB$5)))))))))</f>
        <v>FED +</v>
      </c>
      <c r="AM63" s="5" t="str">
        <f t="shared" ref="AM63" si="99">IF(AK63="","",AK63)</f>
        <v>FED +</v>
      </c>
      <c r="AN63" s="5">
        <f t="shared" ref="AN63" si="100">IF(E63=0," ",IF(AJ63&gt;=0,AJ63,IF(AI63&gt;=0,AI63,IF(AH63&gt;=0,AH63,IF(AG63&gt;=0,AG63,IF(AF63&gt;=0,AF63,IF(AE63&gt;=0,AE63,IF(AD63&gt;=0,AD63,IF(AC63&gt;=0,AC63,AB63)))))))))</f>
        <v>0</v>
      </c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</row>
    <row r="64" spans="1:123" s="11" customFormat="1" ht="5.0999999999999996" customHeight="1" thickBot="1" x14ac:dyDescent="0.25">
      <c r="A64" s="8"/>
      <c r="B64" s="147"/>
      <c r="C64" s="160"/>
      <c r="D64" s="41"/>
      <c r="E64" s="41"/>
      <c r="F64" s="42"/>
      <c r="G64" s="43"/>
      <c r="H64" s="44"/>
      <c r="I64" s="193"/>
      <c r="J64" s="40"/>
      <c r="K64" s="101"/>
      <c r="L64" s="45"/>
      <c r="M64" s="45"/>
      <c r="N64" s="45"/>
      <c r="O64" s="46"/>
      <c r="P64" s="45"/>
      <c r="Q64" s="45"/>
      <c r="R64" s="45"/>
      <c r="S64" s="46"/>
      <c r="T64" s="46"/>
      <c r="U64" s="41"/>
      <c r="V64" s="48"/>
      <c r="W64" s="47"/>
      <c r="X64" s="7"/>
      <c r="Y64" s="154"/>
      <c r="Z64" s="7"/>
      <c r="AA64" s="7"/>
      <c r="AB64" s="89" t="s">
        <v>60</v>
      </c>
      <c r="AC64" s="89" t="s">
        <v>61</v>
      </c>
      <c r="AD64" s="89" t="s">
        <v>62</v>
      </c>
      <c r="AE64" s="89" t="s">
        <v>63</v>
      </c>
      <c r="AF64" s="89" t="s">
        <v>64</v>
      </c>
      <c r="AG64" s="89" t="s">
        <v>65</v>
      </c>
      <c r="AH64" s="89" t="s">
        <v>66</v>
      </c>
      <c r="AI64" s="89" t="s">
        <v>67</v>
      </c>
      <c r="AJ64" s="89" t="s">
        <v>68</v>
      </c>
      <c r="AK64" s="89"/>
      <c r="AL64" s="7"/>
      <c r="AM64" s="7"/>
      <c r="AN64" s="7"/>
      <c r="AO64" s="7"/>
      <c r="AP64" s="7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</row>
    <row r="65" spans="2:76" s="5" customFormat="1" ht="27.95" customHeight="1" x14ac:dyDescent="0.2">
      <c r="B65" s="148" t="s">
        <v>120</v>
      </c>
      <c r="C65" s="161">
        <v>248932</v>
      </c>
      <c r="D65" s="92">
        <v>1</v>
      </c>
      <c r="E65" s="84" t="s">
        <v>70</v>
      </c>
      <c r="F65" s="36" t="s">
        <v>244</v>
      </c>
      <c r="G65" s="37" t="s">
        <v>245</v>
      </c>
      <c r="H65" s="92">
        <v>2000</v>
      </c>
      <c r="I65" s="192" t="s">
        <v>141</v>
      </c>
      <c r="J65" s="35" t="s">
        <v>108</v>
      </c>
      <c r="K65" s="103">
        <v>67.400000000000006</v>
      </c>
      <c r="L65" s="38">
        <v>90</v>
      </c>
      <c r="M65" s="39">
        <v>95</v>
      </c>
      <c r="N65" s="39">
        <v>-100</v>
      </c>
      <c r="O65" s="54">
        <f t="shared" ref="O65:O68" si="101">IF(E65="","",IF(MAXA(L65:N65)&lt;=0,0,MAXA(L65:N65)))</f>
        <v>95</v>
      </c>
      <c r="P65" s="53">
        <v>110</v>
      </c>
      <c r="Q65" s="53">
        <v>115</v>
      </c>
      <c r="R65" s="53">
        <v>120</v>
      </c>
      <c r="S65" s="54">
        <f t="shared" ref="S65:S68" si="102">IF(E65="","",IF(MAXA(P65:R65)&lt;=0,0,MAXA(P65:R65)))</f>
        <v>120</v>
      </c>
      <c r="T65" s="55">
        <f t="shared" ref="T65:T68" si="103">IF(E65="","",IF(OR(O65=0,S65=0),0,O65+S65))</f>
        <v>215</v>
      </c>
      <c r="U65" s="56" t="str">
        <f t="shared" ref="U65:U68" si="104">+CONCATENATE(AM65," ",AN65)</f>
        <v>FED + 25</v>
      </c>
      <c r="V65" s="86" t="str">
        <f>IF(E65=0," ",IF(E65="H",IF(OR(E65="SEN",H65&lt;1998),VLOOKUP(K65,Minimas!$A$11:$G$29,6),IF(AND(H65&gt;1997,H65&lt;2001),VLOOKUP(K65,Minimas!$A$11:$G$29,5),IF(AND(H65&gt;2000,H65&lt;2003),VLOOKUP(K65,Minimas!$A$11:$G$29,4),IF(AND(H65&gt;2002,H65&lt;2005),VLOOKUP(K65,Minimas!$A$11:$G$29,3),VLOOKUP(K65,Minimas!$A$11:$G$29,2))))),IF(OR(H65="SEN",H65&lt;1998),VLOOKUP(K65,Minimas!$G$11:$L$26,6),IF(AND(H65&gt;1997,H65&lt;2001),VLOOKUP(K65,Minimas!$G$11:$L$26,5),IF(AND(H65&gt;2000,H65&lt;2003),VLOOKUP(K65,Minimas!$G$11:$L$26,4),IF(AND(H65&gt;2002,H65&lt;2005),VLOOKUP(K65,Minimas!$G$11:$L$26,3),VLOOKUP(K65,Minimas!$G$11:$L$26,2)))))))</f>
        <v>J 69</v>
      </c>
      <c r="W65" s="62">
        <f t="shared" ref="W65:W68" si="105">IF(E65=" "," ",IF(E65="H",10^(0.75194503*LOG(K65/175.508)^2)*T65,IF(E65="F",10^(0.783497476* LOG(K65/153.655)^2)*T65,"")))</f>
        <v>289.96132233101542</v>
      </c>
      <c r="X65" s="63"/>
      <c r="Y65" s="157" t="s">
        <v>131</v>
      </c>
      <c r="AB65" s="90">
        <f>T65-HLOOKUP(V65,Minimas!$C$1:$BN$10,2,FALSE)</f>
        <v>105</v>
      </c>
      <c r="AC65" s="90">
        <f>T65-HLOOKUP(V65,Minimas!$C$1:$BN$10,3,FALSE)</f>
        <v>85</v>
      </c>
      <c r="AD65" s="90">
        <f>T65-HLOOKUP(V65,Minimas!$C$1:$BN$10,4,FALSE)</f>
        <v>65</v>
      </c>
      <c r="AE65" s="90">
        <f>T65-HLOOKUP(V65,Minimas!$C$1:$BN$10,5,FALSE)</f>
        <v>45</v>
      </c>
      <c r="AF65" s="90">
        <f>T65-HLOOKUP(V65,Minimas!$C$1:$BN$10,6,FALSE)</f>
        <v>25</v>
      </c>
      <c r="AG65" s="90">
        <f>T65-HLOOKUP(V65,Minimas!$C$1:$BN$10,7,FALSE)</f>
        <v>-5</v>
      </c>
      <c r="AH65" s="90">
        <f>T65-HLOOKUP(V65,Minimas!$C$1:$BN$10,8,FALSE)</f>
        <v>-25</v>
      </c>
      <c r="AI65" s="90">
        <f>T65-HLOOKUP(V65,Minimas!$C$1:$BN$10,9,FALSE)</f>
        <v>-45</v>
      </c>
      <c r="AJ65" s="90">
        <f>T65-HLOOKUP(V65,Minimas!$C$1:$BN$10,10,FALSE)</f>
        <v>-785</v>
      </c>
      <c r="AK65" s="91" t="str">
        <f t="shared" ref="AK65:AK81" si="106">IF(E65=0," ",IF(AJ65&gt;=0,$AJ$5,IF(AI65&gt;=0,$AI$5,IF(AH65&gt;=0,$AH$5,IF(AG65&gt;=0,$AG$5,IF(AF65&gt;=0,$AF$5,IF(AE65&gt;=0,$AE$5,IF(AD65&gt;=0,$AD$5,IF(AC65&gt;=0,$AC$5,$AB$5)))))))))</f>
        <v>FED +</v>
      </c>
      <c r="AM65" s="5" t="str">
        <f t="shared" ref="AM65:AM68" si="107">IF(AK65="","",AK65)</f>
        <v>FED +</v>
      </c>
      <c r="AN65" s="5">
        <f t="shared" ref="AN65:AN68" si="108">IF(E65=0," ",IF(AJ65&gt;=0,AJ65,IF(AI65&gt;=0,AI65,IF(AH65&gt;=0,AH65,IF(AG65&gt;=0,AG65,IF(AF65&gt;=0,AF65,IF(AE65&gt;=0,AE65,IF(AD65&gt;=0,AD65,IF(AC65&gt;=0,AC65,AB65)))))))))</f>
        <v>25</v>
      </c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</row>
    <row r="66" spans="2:76" s="5" customFormat="1" ht="27.95" customHeight="1" x14ac:dyDescent="0.2">
      <c r="B66" s="148" t="s">
        <v>124</v>
      </c>
      <c r="C66" s="161">
        <v>368739</v>
      </c>
      <c r="D66" s="92">
        <v>2</v>
      </c>
      <c r="E66" s="84" t="s">
        <v>70</v>
      </c>
      <c r="F66" s="36" t="s">
        <v>246</v>
      </c>
      <c r="G66" s="37" t="s">
        <v>397</v>
      </c>
      <c r="H66" s="92">
        <v>2000</v>
      </c>
      <c r="I66" s="192" t="s">
        <v>552</v>
      </c>
      <c r="J66" s="35" t="s">
        <v>108</v>
      </c>
      <c r="K66" s="103">
        <v>68.5</v>
      </c>
      <c r="L66" s="38">
        <v>90</v>
      </c>
      <c r="M66" s="39">
        <v>-95</v>
      </c>
      <c r="N66" s="39">
        <v>-95</v>
      </c>
      <c r="O66" s="54">
        <f t="shared" si="101"/>
        <v>90</v>
      </c>
      <c r="P66" s="53">
        <v>117</v>
      </c>
      <c r="Q66" s="53">
        <v>125</v>
      </c>
      <c r="R66" s="53">
        <v>-130</v>
      </c>
      <c r="S66" s="54">
        <f t="shared" si="102"/>
        <v>125</v>
      </c>
      <c r="T66" s="55">
        <f t="shared" si="103"/>
        <v>215</v>
      </c>
      <c r="U66" s="56" t="str">
        <f t="shared" si="104"/>
        <v>FED + 25</v>
      </c>
      <c r="V66" s="86" t="str">
        <f>IF(E66=0," ",IF(E66="H",IF(OR(E66="SEN",H66&lt;1998),VLOOKUP(K66,Minimas!$A$11:$G$29,6),IF(AND(H66&gt;1997,H66&lt;2001),VLOOKUP(K66,Minimas!$A$11:$G$29,5),IF(AND(H66&gt;2000,H66&lt;2003),VLOOKUP(K66,Minimas!$A$11:$G$29,4),IF(AND(H66&gt;2002,H66&lt;2005),VLOOKUP(K66,Minimas!$A$11:$G$29,3),VLOOKUP(K66,Minimas!$A$11:$G$29,2))))),IF(OR(H66="SEN",H66&lt;1998),VLOOKUP(K66,Minimas!$G$11:$L$26,6),IF(AND(H66&gt;1997,H66&lt;2001),VLOOKUP(K66,Minimas!$G$11:$L$26,5),IF(AND(H66&gt;2000,H66&lt;2003),VLOOKUP(K66,Minimas!$G$11:$L$26,4),IF(AND(H66&gt;2002,H66&lt;2005),VLOOKUP(K66,Minimas!$G$11:$L$26,3),VLOOKUP(K66,Minimas!$G$11:$L$26,2)))))))</f>
        <v>J 69</v>
      </c>
      <c r="W66" s="62">
        <f t="shared" si="105"/>
        <v>287.06653008934137</v>
      </c>
      <c r="X66" s="63"/>
      <c r="Y66" s="157" t="s">
        <v>131</v>
      </c>
      <c r="AB66" s="90">
        <f>T66-HLOOKUP(V66,Minimas!$C$1:$BN$10,2,FALSE)</f>
        <v>105</v>
      </c>
      <c r="AC66" s="90">
        <f>T66-HLOOKUP(V66,Minimas!$C$1:$BN$10,3,FALSE)</f>
        <v>85</v>
      </c>
      <c r="AD66" s="90">
        <f>T66-HLOOKUP(V66,Minimas!$C$1:$BN$10,4,FALSE)</f>
        <v>65</v>
      </c>
      <c r="AE66" s="90">
        <f>T66-HLOOKUP(V66,Minimas!$C$1:$BN$10,5,FALSE)</f>
        <v>45</v>
      </c>
      <c r="AF66" s="90">
        <f>T66-HLOOKUP(V66,Minimas!$C$1:$BN$10,6,FALSE)</f>
        <v>25</v>
      </c>
      <c r="AG66" s="90">
        <f>T66-HLOOKUP(V66,Minimas!$C$1:$BN$10,7,FALSE)</f>
        <v>-5</v>
      </c>
      <c r="AH66" s="90">
        <f>T66-HLOOKUP(V66,Minimas!$C$1:$BN$10,8,FALSE)</f>
        <v>-25</v>
      </c>
      <c r="AI66" s="90">
        <f>T66-HLOOKUP(V66,Minimas!$C$1:$BN$10,9,FALSE)</f>
        <v>-45</v>
      </c>
      <c r="AJ66" s="90">
        <f>T66-HLOOKUP(V66,Minimas!$C$1:$BN$10,10,FALSE)</f>
        <v>-785</v>
      </c>
      <c r="AK66" s="91" t="str">
        <f t="shared" si="106"/>
        <v>FED +</v>
      </c>
      <c r="AM66" s="5" t="str">
        <f t="shared" si="107"/>
        <v>FED +</v>
      </c>
      <c r="AN66" s="5">
        <f t="shared" si="108"/>
        <v>25</v>
      </c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</row>
    <row r="67" spans="2:76" s="5" customFormat="1" ht="27.95" customHeight="1" x14ac:dyDescent="0.2">
      <c r="B67" s="148" t="s">
        <v>189</v>
      </c>
      <c r="C67" s="161">
        <v>324558</v>
      </c>
      <c r="D67" s="92">
        <v>3</v>
      </c>
      <c r="E67" s="84" t="s">
        <v>70</v>
      </c>
      <c r="F67" s="36" t="s">
        <v>247</v>
      </c>
      <c r="G67" s="37" t="s">
        <v>395</v>
      </c>
      <c r="H67" s="92">
        <v>2000</v>
      </c>
      <c r="I67" s="192" t="s">
        <v>553</v>
      </c>
      <c r="J67" s="35" t="s">
        <v>108</v>
      </c>
      <c r="K67" s="103">
        <v>67.05</v>
      </c>
      <c r="L67" s="38">
        <v>90</v>
      </c>
      <c r="M67" s="39">
        <v>95</v>
      </c>
      <c r="N67" s="39">
        <v>100</v>
      </c>
      <c r="O67" s="54">
        <f t="shared" si="101"/>
        <v>100</v>
      </c>
      <c r="P67" s="53">
        <v>110</v>
      </c>
      <c r="Q67" s="53">
        <v>115</v>
      </c>
      <c r="R67" s="53">
        <v>-120</v>
      </c>
      <c r="S67" s="54">
        <f t="shared" si="102"/>
        <v>115</v>
      </c>
      <c r="T67" s="55">
        <f t="shared" si="103"/>
        <v>215</v>
      </c>
      <c r="U67" s="56" t="str">
        <f t="shared" si="104"/>
        <v>FED + 25</v>
      </c>
      <c r="V67" s="86" t="str">
        <f>IF(E67=0," ",IF(E67="H",IF(OR(E67="SEN",H67&lt;1998),VLOOKUP(K67,Minimas!$A$11:$G$29,6),IF(AND(H67&gt;1997,H67&lt;2001),VLOOKUP(K67,Minimas!$A$11:$G$29,5),IF(AND(H67&gt;2000,H67&lt;2003),VLOOKUP(K67,Minimas!$A$11:$G$29,4),IF(AND(H67&gt;2002,H67&lt;2005),VLOOKUP(K67,Minimas!$A$11:$G$29,3),VLOOKUP(K67,Minimas!$A$11:$G$29,2))))),IF(OR(H67="SEN",H67&lt;1998),VLOOKUP(K67,Minimas!$G$11:$L$26,6),IF(AND(H67&gt;1997,H67&lt;2001),VLOOKUP(K67,Minimas!$G$11:$L$26,5),IF(AND(H67&gt;2000,H67&lt;2003),VLOOKUP(K67,Minimas!$G$11:$L$26,4),IF(AND(H67&gt;2002,H67&lt;2005),VLOOKUP(K67,Minimas!$G$11:$L$26,3),VLOOKUP(K67,Minimas!$G$11:$L$26,2)))))))</f>
        <v>J 69</v>
      </c>
      <c r="W67" s="62">
        <f t="shared" si="105"/>
        <v>290.9090795387587</v>
      </c>
      <c r="X67" s="63"/>
      <c r="Y67" s="156" t="s">
        <v>319</v>
      </c>
      <c r="AB67" s="90">
        <f>T67-HLOOKUP(V67,Minimas!$C$1:$BN$10,2,FALSE)</f>
        <v>105</v>
      </c>
      <c r="AC67" s="90">
        <f>T67-HLOOKUP(V67,Minimas!$C$1:$BN$10,3,FALSE)</f>
        <v>85</v>
      </c>
      <c r="AD67" s="90">
        <f>T67-HLOOKUP(V67,Minimas!$C$1:$BN$10,4,FALSE)</f>
        <v>65</v>
      </c>
      <c r="AE67" s="90">
        <f>T67-HLOOKUP(V67,Minimas!$C$1:$BN$10,5,FALSE)</f>
        <v>45</v>
      </c>
      <c r="AF67" s="90">
        <f>T67-HLOOKUP(V67,Minimas!$C$1:$BN$10,6,FALSE)</f>
        <v>25</v>
      </c>
      <c r="AG67" s="90">
        <f>T67-HLOOKUP(V67,Minimas!$C$1:$BN$10,7,FALSE)</f>
        <v>-5</v>
      </c>
      <c r="AH67" s="90">
        <f>T67-HLOOKUP(V67,Minimas!$C$1:$BN$10,8,FALSE)</f>
        <v>-25</v>
      </c>
      <c r="AI67" s="90">
        <f>T67-HLOOKUP(V67,Minimas!$C$1:$BN$10,9,FALSE)</f>
        <v>-45</v>
      </c>
      <c r="AJ67" s="90">
        <f>T67-HLOOKUP(V67,Minimas!$C$1:$BN$10,10,FALSE)</f>
        <v>-785</v>
      </c>
      <c r="AK67" s="91" t="str">
        <f t="shared" si="106"/>
        <v>FED +</v>
      </c>
      <c r="AM67" s="5" t="str">
        <f t="shared" si="107"/>
        <v>FED +</v>
      </c>
      <c r="AN67" s="5">
        <f t="shared" si="108"/>
        <v>25</v>
      </c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</row>
    <row r="68" spans="2:76" s="5" customFormat="1" ht="27.95" customHeight="1" x14ac:dyDescent="0.2">
      <c r="B68" s="148" t="s">
        <v>120</v>
      </c>
      <c r="C68" s="161">
        <v>383861</v>
      </c>
      <c r="D68" s="92">
        <v>4</v>
      </c>
      <c r="E68" s="84" t="s">
        <v>70</v>
      </c>
      <c r="F68" s="36" t="s">
        <v>396</v>
      </c>
      <c r="G68" s="37" t="s">
        <v>397</v>
      </c>
      <c r="H68" s="92">
        <v>2000</v>
      </c>
      <c r="I68" s="192" t="s">
        <v>554</v>
      </c>
      <c r="J68" s="35" t="s">
        <v>108</v>
      </c>
      <c r="K68" s="103">
        <v>66.739999999999995</v>
      </c>
      <c r="L68" s="38">
        <v>88</v>
      </c>
      <c r="M68" s="39">
        <v>-92</v>
      </c>
      <c r="N68" s="39">
        <v>-92</v>
      </c>
      <c r="O68" s="54">
        <f t="shared" si="101"/>
        <v>88</v>
      </c>
      <c r="P68" s="53">
        <v>118</v>
      </c>
      <c r="Q68" s="53">
        <v>122</v>
      </c>
      <c r="R68" s="53">
        <v>125</v>
      </c>
      <c r="S68" s="54">
        <f t="shared" si="102"/>
        <v>125</v>
      </c>
      <c r="T68" s="55">
        <f t="shared" si="103"/>
        <v>213</v>
      </c>
      <c r="U68" s="56" t="str">
        <f t="shared" si="104"/>
        <v>FED + 23</v>
      </c>
      <c r="V68" s="86" t="str">
        <f>IF(E68=0," ",IF(E68="H",IF(OR(E68="SEN",H68&lt;1998),VLOOKUP(K68,Minimas!$A$11:$G$29,6),IF(AND(H68&gt;1997,H68&lt;2001),VLOOKUP(K68,Minimas!$A$11:$G$29,5),IF(AND(H68&gt;2000,H68&lt;2003),VLOOKUP(K68,Minimas!$A$11:$G$29,4),IF(AND(H68&gt;2002,H68&lt;2005),VLOOKUP(K68,Minimas!$A$11:$G$29,3),VLOOKUP(K68,Minimas!$A$11:$G$29,2))))),IF(OR(H68="SEN",H68&lt;1998),VLOOKUP(K68,Minimas!$G$11:$L$26,6),IF(AND(H68&gt;1997,H68&lt;2001),VLOOKUP(K68,Minimas!$G$11:$L$26,5),IF(AND(H68&gt;2000,H68&lt;2003),VLOOKUP(K68,Minimas!$G$11:$L$26,4),IF(AND(H68&gt;2002,H68&lt;2005),VLOOKUP(K68,Minimas!$G$11:$L$26,3),VLOOKUP(K68,Minimas!$G$11:$L$26,2)))))))</f>
        <v>J 69</v>
      </c>
      <c r="W68" s="62">
        <f t="shared" si="105"/>
        <v>289.04556974865739</v>
      </c>
      <c r="X68" s="63"/>
      <c r="Y68" s="155" t="s">
        <v>441</v>
      </c>
      <c r="AB68" s="90">
        <f>T68-HLOOKUP(V68,Minimas!$C$1:$BN$10,2,FALSE)</f>
        <v>103</v>
      </c>
      <c r="AC68" s="90">
        <f>T68-HLOOKUP(V68,Minimas!$C$1:$BN$10,3,FALSE)</f>
        <v>83</v>
      </c>
      <c r="AD68" s="90">
        <f>T68-HLOOKUP(V68,Minimas!$C$1:$BN$10,4,FALSE)</f>
        <v>63</v>
      </c>
      <c r="AE68" s="90">
        <f>T68-HLOOKUP(V68,Minimas!$C$1:$BN$10,5,FALSE)</f>
        <v>43</v>
      </c>
      <c r="AF68" s="90">
        <f>T68-HLOOKUP(V68,Minimas!$C$1:$BN$10,6,FALSE)</f>
        <v>23</v>
      </c>
      <c r="AG68" s="90">
        <f>T68-HLOOKUP(V68,Minimas!$C$1:$BN$10,7,FALSE)</f>
        <v>-7</v>
      </c>
      <c r="AH68" s="90">
        <f>T68-HLOOKUP(V68,Minimas!$C$1:$BN$10,8,FALSE)</f>
        <v>-27</v>
      </c>
      <c r="AI68" s="90">
        <f>T68-HLOOKUP(V68,Minimas!$C$1:$BN$10,9,FALSE)</f>
        <v>-47</v>
      </c>
      <c r="AJ68" s="90">
        <f>T68-HLOOKUP(V68,Minimas!$C$1:$BN$10,10,FALSE)</f>
        <v>-787</v>
      </c>
      <c r="AK68" s="91" t="str">
        <f t="shared" si="106"/>
        <v>FED +</v>
      </c>
      <c r="AM68" s="5" t="str">
        <f t="shared" si="107"/>
        <v>FED +</v>
      </c>
      <c r="AN68" s="5">
        <f t="shared" si="108"/>
        <v>23</v>
      </c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</row>
    <row r="69" spans="2:76" s="5" customFormat="1" ht="27.95" customHeight="1" x14ac:dyDescent="0.2">
      <c r="B69" s="148" t="s">
        <v>128</v>
      </c>
      <c r="C69" s="161">
        <v>330535</v>
      </c>
      <c r="D69" s="92">
        <v>5</v>
      </c>
      <c r="E69" s="84" t="s">
        <v>70</v>
      </c>
      <c r="F69" s="36" t="s">
        <v>248</v>
      </c>
      <c r="G69" s="37" t="s">
        <v>497</v>
      </c>
      <c r="H69" s="92">
        <v>1998</v>
      </c>
      <c r="I69" s="192" t="s">
        <v>498</v>
      </c>
      <c r="J69" s="35" t="s">
        <v>108</v>
      </c>
      <c r="K69" s="103">
        <v>67.8</v>
      </c>
      <c r="L69" s="38">
        <v>88</v>
      </c>
      <c r="M69" s="39">
        <v>92</v>
      </c>
      <c r="N69" s="39">
        <v>-95</v>
      </c>
      <c r="O69" s="54">
        <f t="shared" ref="O69:O81" si="109">IF(E69="","",IF(MAXA(L69:N69)&lt;=0,0,MAXA(L69:N69)))</f>
        <v>92</v>
      </c>
      <c r="P69" s="53">
        <v>113</v>
      </c>
      <c r="Q69" s="53">
        <v>118</v>
      </c>
      <c r="R69" s="53">
        <v>-121</v>
      </c>
      <c r="S69" s="54">
        <f t="shared" ref="S69:S81" si="110">IF(E69="","",IF(MAXA(P69:R69)&lt;=0,0,MAXA(P69:R69)))</f>
        <v>118</v>
      </c>
      <c r="T69" s="55">
        <f t="shared" ref="T69:T81" si="111">IF(E69="","",IF(OR(O69=0,S69=0),0,O69+S69))</f>
        <v>210</v>
      </c>
      <c r="U69" s="56" t="str">
        <f t="shared" ref="U69:U81" si="112">+CONCATENATE(AM69," ",AN69)</f>
        <v>FED + 20</v>
      </c>
      <c r="V69" s="86" t="str">
        <f>IF(E69=0," ",IF(E69="H",IF(OR(E69="SEN",H69&lt;1998),VLOOKUP(K69,Minimas!$A$11:$G$29,6),IF(AND(H69&gt;1997,H69&lt;2001),VLOOKUP(K69,Minimas!$A$11:$G$29,5),IF(AND(H69&gt;2000,H69&lt;2003),VLOOKUP(K69,Minimas!$A$11:$G$29,4),IF(AND(H69&gt;2002,H69&lt;2005),VLOOKUP(K69,Minimas!$A$11:$G$29,3),VLOOKUP(K69,Minimas!$A$11:$G$29,2))))),IF(OR(H69="SEN",H69&lt;1998),VLOOKUP(K69,Minimas!$G$11:$L$26,6),IF(AND(H69&gt;1997,H69&lt;2001),VLOOKUP(K69,Minimas!$G$11:$L$26,5),IF(AND(H69&gt;2000,H69&lt;2003),VLOOKUP(K69,Minimas!$G$11:$L$26,4),IF(AND(H69&gt;2002,H69&lt;2005),VLOOKUP(K69,Minimas!$G$11:$L$26,3),VLOOKUP(K69,Minimas!$G$11:$L$26,2)))))))</f>
        <v>J 69</v>
      </c>
      <c r="W69" s="62">
        <f t="shared" ref="W69:W81" si="113">IF(E69=" "," ",IF(E69="H",10^(0.75194503*LOG(K69/175.508)^2)*T69,IF(E69="F",10^(0.783497476* LOG(K69/153.655)^2)*T69,"")))</f>
        <v>282.17566865543756</v>
      </c>
      <c r="X69" s="63"/>
      <c r="Y69" s="155" t="s">
        <v>441</v>
      </c>
      <c r="AB69" s="90">
        <f>T69-HLOOKUP(V69,Minimas!$C$1:$BN$10,2,FALSE)</f>
        <v>100</v>
      </c>
      <c r="AC69" s="90">
        <f>T69-HLOOKUP(V69,Minimas!$C$1:$BN$10,3,FALSE)</f>
        <v>80</v>
      </c>
      <c r="AD69" s="90">
        <f>T69-HLOOKUP(V69,Minimas!$C$1:$BN$10,4,FALSE)</f>
        <v>60</v>
      </c>
      <c r="AE69" s="90">
        <f>T69-HLOOKUP(V69,Minimas!$C$1:$BN$10,5,FALSE)</f>
        <v>40</v>
      </c>
      <c r="AF69" s="90">
        <f>T69-HLOOKUP(V69,Minimas!$C$1:$BN$10,6,FALSE)</f>
        <v>20</v>
      </c>
      <c r="AG69" s="90">
        <f>T69-HLOOKUP(V69,Minimas!$C$1:$BN$10,7,FALSE)</f>
        <v>-10</v>
      </c>
      <c r="AH69" s="90">
        <f>T69-HLOOKUP(V69,Minimas!$C$1:$BN$10,8,FALSE)</f>
        <v>-30</v>
      </c>
      <c r="AI69" s="90">
        <f>T69-HLOOKUP(V69,Minimas!$C$1:$BN$10,9,FALSE)</f>
        <v>-50</v>
      </c>
      <c r="AJ69" s="90">
        <f>T69-HLOOKUP(V69,Minimas!$C$1:$BN$10,10,FALSE)</f>
        <v>-790</v>
      </c>
      <c r="AK69" s="91" t="str">
        <f t="shared" si="106"/>
        <v>FED +</v>
      </c>
      <c r="AM69" s="5" t="str">
        <f t="shared" ref="AM69:AM81" si="114">IF(AK69="","",AK69)</f>
        <v>FED +</v>
      </c>
      <c r="AN69" s="5">
        <f t="shared" ref="AN69:AN81" si="115">IF(E69=0," ",IF(AJ69&gt;=0,AJ69,IF(AI69&gt;=0,AI69,IF(AH69&gt;=0,AH69,IF(AG69&gt;=0,AG69,IF(AF69&gt;=0,AF69,IF(AE69&gt;=0,AE69,IF(AD69&gt;=0,AD69,IF(AC69&gt;=0,AC69,AB69)))))))))</f>
        <v>20</v>
      </c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</row>
    <row r="70" spans="2:76" s="5" customFormat="1" ht="27.95" customHeight="1" x14ac:dyDescent="0.2">
      <c r="B70" s="150" t="s">
        <v>138</v>
      </c>
      <c r="C70" s="163">
        <v>368728</v>
      </c>
      <c r="D70" s="128">
        <v>6</v>
      </c>
      <c r="E70" s="129" t="s">
        <v>70</v>
      </c>
      <c r="F70" s="130" t="s">
        <v>400</v>
      </c>
      <c r="G70" s="131" t="s">
        <v>664</v>
      </c>
      <c r="H70" s="128">
        <v>2000</v>
      </c>
      <c r="I70" s="199" t="s">
        <v>542</v>
      </c>
      <c r="J70" s="132" t="s">
        <v>108</v>
      </c>
      <c r="K70" s="133">
        <v>64.400000000000006</v>
      </c>
      <c r="L70" s="134">
        <v>85</v>
      </c>
      <c r="M70" s="135">
        <v>-90</v>
      </c>
      <c r="N70" s="135">
        <v>90</v>
      </c>
      <c r="O70" s="136">
        <f t="shared" si="109"/>
        <v>90</v>
      </c>
      <c r="P70" s="137">
        <v>105</v>
      </c>
      <c r="Q70" s="137">
        <v>-110</v>
      </c>
      <c r="R70" s="137">
        <v>112</v>
      </c>
      <c r="S70" s="136">
        <f t="shared" si="110"/>
        <v>112</v>
      </c>
      <c r="T70" s="138">
        <f t="shared" si="111"/>
        <v>202</v>
      </c>
      <c r="U70" s="139" t="str">
        <f t="shared" si="112"/>
        <v>FED + 12</v>
      </c>
      <c r="V70" s="140" t="str">
        <f>IF(E70=0," ",IF(E70="H",IF(OR(E70="SEN",H70&lt;1998),VLOOKUP(K70,Minimas!$A$11:$G$29,6),IF(AND(H70&gt;1997,H70&lt;2001),VLOOKUP(K70,Minimas!$A$11:$G$29,5),IF(AND(H70&gt;2000,H70&lt;2003),VLOOKUP(K70,Minimas!$A$11:$G$29,4),IF(AND(H70&gt;2002,H70&lt;2005),VLOOKUP(K70,Minimas!$A$11:$G$29,3),VLOOKUP(K70,Minimas!$A$11:$G$29,2))))),IF(OR(H70="SEN",H70&lt;1998),VLOOKUP(K70,Minimas!$G$11:$L$26,6),IF(AND(H70&gt;1997,H70&lt;2001),VLOOKUP(K70,Minimas!$G$11:$L$26,5),IF(AND(H70&gt;2000,H70&lt;2003),VLOOKUP(K70,Minimas!$G$11:$L$26,4),IF(AND(H70&gt;2002,H70&lt;2005),VLOOKUP(K70,Minimas!$G$11:$L$26,3),VLOOKUP(K70,Minimas!$G$11:$L$26,2)))))))</f>
        <v>J 69</v>
      </c>
      <c r="W70" s="141">
        <f t="shared" si="113"/>
        <v>280.48342399414446</v>
      </c>
      <c r="X70" s="63"/>
      <c r="Y70" s="155" t="s">
        <v>441</v>
      </c>
      <c r="AB70" s="90">
        <f>T70-HLOOKUP(V70,Minimas!$C$1:$BN$10,2,FALSE)</f>
        <v>92</v>
      </c>
      <c r="AC70" s="90">
        <f>T70-HLOOKUP(V70,Minimas!$C$1:$BN$10,3,FALSE)</f>
        <v>72</v>
      </c>
      <c r="AD70" s="90">
        <f>T70-HLOOKUP(V70,Minimas!$C$1:$BN$10,4,FALSE)</f>
        <v>52</v>
      </c>
      <c r="AE70" s="90">
        <f>T70-HLOOKUP(V70,Minimas!$C$1:$BN$10,5,FALSE)</f>
        <v>32</v>
      </c>
      <c r="AF70" s="90">
        <f>T70-HLOOKUP(V70,Minimas!$C$1:$BN$10,6,FALSE)</f>
        <v>12</v>
      </c>
      <c r="AG70" s="90">
        <f>T70-HLOOKUP(V70,Minimas!$C$1:$BN$10,7,FALSE)</f>
        <v>-18</v>
      </c>
      <c r="AH70" s="90">
        <f>T70-HLOOKUP(V70,Minimas!$C$1:$BN$10,8,FALSE)</f>
        <v>-38</v>
      </c>
      <c r="AI70" s="90">
        <f>T70-HLOOKUP(V70,Minimas!$C$1:$BN$10,9,FALSE)</f>
        <v>-58</v>
      </c>
      <c r="AJ70" s="90">
        <f>T70-HLOOKUP(V70,Minimas!$C$1:$BN$10,10,FALSE)</f>
        <v>-798</v>
      </c>
      <c r="AK70" s="91" t="str">
        <f t="shared" si="106"/>
        <v>FED +</v>
      </c>
      <c r="AM70" s="5" t="str">
        <f t="shared" si="114"/>
        <v>FED +</v>
      </c>
      <c r="AN70" s="5">
        <f t="shared" si="115"/>
        <v>12</v>
      </c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</row>
    <row r="71" spans="2:76" s="5" customFormat="1" ht="27.95" customHeight="1" x14ac:dyDescent="0.2">
      <c r="B71" s="148" t="s">
        <v>125</v>
      </c>
      <c r="C71" s="161">
        <v>403316</v>
      </c>
      <c r="D71" s="92">
        <v>7</v>
      </c>
      <c r="E71" s="84" t="s">
        <v>70</v>
      </c>
      <c r="F71" s="36" t="s">
        <v>250</v>
      </c>
      <c r="G71" s="37" t="s">
        <v>665</v>
      </c>
      <c r="H71" s="92">
        <v>1998</v>
      </c>
      <c r="I71" s="192" t="s">
        <v>555</v>
      </c>
      <c r="J71" s="35" t="s">
        <v>108</v>
      </c>
      <c r="K71" s="103">
        <v>68.05</v>
      </c>
      <c r="L71" s="38">
        <v>78</v>
      </c>
      <c r="M71" s="39">
        <v>82</v>
      </c>
      <c r="N71" s="39">
        <v>85</v>
      </c>
      <c r="O71" s="54">
        <f t="shared" si="109"/>
        <v>85</v>
      </c>
      <c r="P71" s="53">
        <v>105</v>
      </c>
      <c r="Q71" s="53">
        <v>110</v>
      </c>
      <c r="R71" s="53">
        <v>115</v>
      </c>
      <c r="S71" s="54">
        <f t="shared" si="110"/>
        <v>115</v>
      </c>
      <c r="T71" s="55">
        <f t="shared" si="111"/>
        <v>200</v>
      </c>
      <c r="U71" s="56" t="str">
        <f t="shared" si="112"/>
        <v>FED + 10</v>
      </c>
      <c r="V71" s="86" t="str">
        <f>IF(E71=0," ",IF(E71="H",IF(OR(E71="SEN",H71&lt;1998),VLOOKUP(K71,Minimas!$A$11:$G$29,6),IF(AND(H71&gt;1997,H71&lt;2001),VLOOKUP(K71,Minimas!$A$11:$G$29,5),IF(AND(H71&gt;2000,H71&lt;2003),VLOOKUP(K71,Minimas!$A$11:$G$29,4),IF(AND(H71&gt;2002,H71&lt;2005),VLOOKUP(K71,Minimas!$A$11:$G$29,3),VLOOKUP(K71,Minimas!$A$11:$G$29,2))))),IF(OR(H71="SEN",H71&lt;1998),VLOOKUP(K71,Minimas!$G$11:$L$26,6),IF(AND(H71&gt;1997,H71&lt;2001),VLOOKUP(K71,Minimas!$G$11:$L$26,5),IF(AND(H71&gt;2000,H71&lt;2003),VLOOKUP(K71,Minimas!$G$11:$L$26,4),IF(AND(H71&gt;2002,H71&lt;2005),VLOOKUP(K71,Minimas!$G$11:$L$26,3),VLOOKUP(K71,Minimas!$G$11:$L$26,2)))))))</f>
        <v>J 69</v>
      </c>
      <c r="W71" s="62">
        <f t="shared" si="113"/>
        <v>268.12618224022805</v>
      </c>
      <c r="X71" s="63"/>
      <c r="Y71" s="157" t="s">
        <v>131</v>
      </c>
      <c r="AB71" s="90">
        <f>T71-HLOOKUP(V71,Minimas!$C$1:$BN$10,2,FALSE)</f>
        <v>90</v>
      </c>
      <c r="AC71" s="90">
        <f>T71-HLOOKUP(V71,Minimas!$C$1:$BN$10,3,FALSE)</f>
        <v>70</v>
      </c>
      <c r="AD71" s="90">
        <f>T71-HLOOKUP(V71,Minimas!$C$1:$BN$10,4,FALSE)</f>
        <v>50</v>
      </c>
      <c r="AE71" s="90">
        <f>T71-HLOOKUP(V71,Minimas!$C$1:$BN$10,5,FALSE)</f>
        <v>30</v>
      </c>
      <c r="AF71" s="90">
        <f>T71-HLOOKUP(V71,Minimas!$C$1:$BN$10,6,FALSE)</f>
        <v>10</v>
      </c>
      <c r="AG71" s="90">
        <f>T71-HLOOKUP(V71,Minimas!$C$1:$BN$10,7,FALSE)</f>
        <v>-20</v>
      </c>
      <c r="AH71" s="90">
        <f>T71-HLOOKUP(V71,Minimas!$C$1:$BN$10,8,FALSE)</f>
        <v>-40</v>
      </c>
      <c r="AI71" s="90">
        <f>T71-HLOOKUP(V71,Minimas!$C$1:$BN$10,9,FALSE)</f>
        <v>-60</v>
      </c>
      <c r="AJ71" s="90">
        <f>T71-HLOOKUP(V71,Minimas!$C$1:$BN$10,10,FALSE)</f>
        <v>-800</v>
      </c>
      <c r="AK71" s="91" t="str">
        <f t="shared" si="106"/>
        <v>FED +</v>
      </c>
      <c r="AM71" s="5" t="str">
        <f t="shared" si="114"/>
        <v>FED +</v>
      </c>
      <c r="AN71" s="5">
        <f t="shared" si="115"/>
        <v>10</v>
      </c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</row>
    <row r="72" spans="2:76" s="5" customFormat="1" ht="27.95" customHeight="1" x14ac:dyDescent="0.2">
      <c r="B72" s="148" t="s">
        <v>123</v>
      </c>
      <c r="C72" s="161">
        <v>412186</v>
      </c>
      <c r="D72" s="92">
        <v>8</v>
      </c>
      <c r="E72" s="84" t="s">
        <v>70</v>
      </c>
      <c r="F72" s="36" t="s">
        <v>399</v>
      </c>
      <c r="G72" s="37" t="s">
        <v>666</v>
      </c>
      <c r="H72" s="92">
        <v>2000</v>
      </c>
      <c r="I72" s="192" t="s">
        <v>158</v>
      </c>
      <c r="J72" s="35" t="s">
        <v>108</v>
      </c>
      <c r="K72" s="103">
        <v>67.7</v>
      </c>
      <c r="L72" s="38">
        <v>85</v>
      </c>
      <c r="M72" s="39">
        <v>-88</v>
      </c>
      <c r="N72" s="39">
        <v>88</v>
      </c>
      <c r="O72" s="54">
        <f t="shared" si="109"/>
        <v>88</v>
      </c>
      <c r="P72" s="53">
        <v>105</v>
      </c>
      <c r="Q72" s="53">
        <v>110</v>
      </c>
      <c r="R72" s="53">
        <v>-112</v>
      </c>
      <c r="S72" s="54">
        <f t="shared" si="110"/>
        <v>110</v>
      </c>
      <c r="T72" s="55">
        <f t="shared" si="111"/>
        <v>198</v>
      </c>
      <c r="U72" s="56" t="str">
        <f t="shared" si="112"/>
        <v>FED + 8</v>
      </c>
      <c r="V72" s="86" t="str">
        <f>IF(E72=0," ",IF(E72="H",IF(OR(E72="SEN",H72&lt;1998),VLOOKUP(K72,Minimas!$A$11:$G$29,6),IF(AND(H72&gt;1997,H72&lt;2001),VLOOKUP(K72,Minimas!$A$11:$G$29,5),IF(AND(H72&gt;2000,H72&lt;2003),VLOOKUP(K72,Minimas!$A$11:$G$29,4),IF(AND(H72&gt;2002,H72&lt;2005),VLOOKUP(K72,Minimas!$A$11:$G$29,3),VLOOKUP(K72,Minimas!$A$11:$G$29,2))))),IF(OR(H72="SEN",H72&lt;1998),VLOOKUP(K72,Minimas!$G$11:$L$26,6),IF(AND(H72&gt;1997,H72&lt;2001),VLOOKUP(K72,Minimas!$G$11:$L$26,5),IF(AND(H72&gt;2000,H72&lt;2003),VLOOKUP(K72,Minimas!$G$11:$L$26,4),IF(AND(H72&gt;2002,H72&lt;2005),VLOOKUP(K72,Minimas!$G$11:$L$26,3),VLOOKUP(K72,Minimas!$G$11:$L$26,2)))))))</f>
        <v>J 69</v>
      </c>
      <c r="W72" s="62">
        <f t="shared" si="113"/>
        <v>266.29559170483708</v>
      </c>
      <c r="X72" s="63"/>
      <c r="Y72" s="155" t="s">
        <v>441</v>
      </c>
      <c r="AB72" s="90">
        <f>T72-HLOOKUP(V72,Minimas!$C$1:$BN$10,2,FALSE)</f>
        <v>88</v>
      </c>
      <c r="AC72" s="90">
        <f>T72-HLOOKUP(V72,Minimas!$C$1:$BN$10,3,FALSE)</f>
        <v>68</v>
      </c>
      <c r="AD72" s="90">
        <f>T72-HLOOKUP(V72,Minimas!$C$1:$BN$10,4,FALSE)</f>
        <v>48</v>
      </c>
      <c r="AE72" s="90">
        <f>T72-HLOOKUP(V72,Minimas!$C$1:$BN$10,5,FALSE)</f>
        <v>28</v>
      </c>
      <c r="AF72" s="90">
        <f>T72-HLOOKUP(V72,Minimas!$C$1:$BN$10,6,FALSE)</f>
        <v>8</v>
      </c>
      <c r="AG72" s="90">
        <f>T72-HLOOKUP(V72,Minimas!$C$1:$BN$10,7,FALSE)</f>
        <v>-22</v>
      </c>
      <c r="AH72" s="90">
        <f>T72-HLOOKUP(V72,Minimas!$C$1:$BN$10,8,FALSE)</f>
        <v>-42</v>
      </c>
      <c r="AI72" s="90">
        <f>T72-HLOOKUP(V72,Minimas!$C$1:$BN$10,9,FALSE)</f>
        <v>-62</v>
      </c>
      <c r="AJ72" s="90">
        <f>T72-HLOOKUP(V72,Minimas!$C$1:$BN$10,10,FALSE)</f>
        <v>-802</v>
      </c>
      <c r="AK72" s="91" t="str">
        <f t="shared" si="106"/>
        <v>FED +</v>
      </c>
      <c r="AM72" s="5" t="str">
        <f t="shared" si="114"/>
        <v>FED +</v>
      </c>
      <c r="AN72" s="5">
        <f t="shared" si="115"/>
        <v>8</v>
      </c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</row>
    <row r="73" spans="2:76" s="5" customFormat="1" ht="27.95" customHeight="1" x14ac:dyDescent="0.2">
      <c r="B73" s="148" t="s">
        <v>124</v>
      </c>
      <c r="C73" s="161">
        <v>980080</v>
      </c>
      <c r="D73" s="92">
        <v>9</v>
      </c>
      <c r="E73" s="84" t="s">
        <v>70</v>
      </c>
      <c r="F73" s="36" t="s">
        <v>398</v>
      </c>
      <c r="G73" s="37" t="s">
        <v>667</v>
      </c>
      <c r="H73" s="92">
        <v>2000</v>
      </c>
      <c r="I73" s="192" t="s">
        <v>552</v>
      </c>
      <c r="J73" s="35" t="s">
        <v>108</v>
      </c>
      <c r="K73" s="103">
        <v>68.099999999999994</v>
      </c>
      <c r="L73" s="38">
        <v>90</v>
      </c>
      <c r="M73" s="39">
        <v>-95</v>
      </c>
      <c r="N73" s="39">
        <v>-95</v>
      </c>
      <c r="O73" s="54">
        <f t="shared" si="109"/>
        <v>90</v>
      </c>
      <c r="P73" s="53">
        <v>105</v>
      </c>
      <c r="Q73" s="53">
        <v>-112</v>
      </c>
      <c r="R73" s="53">
        <v>-112</v>
      </c>
      <c r="S73" s="54">
        <f t="shared" si="110"/>
        <v>105</v>
      </c>
      <c r="T73" s="55">
        <f t="shared" si="111"/>
        <v>195</v>
      </c>
      <c r="U73" s="56" t="str">
        <f t="shared" si="112"/>
        <v>FED + 5</v>
      </c>
      <c r="V73" s="86" t="str">
        <f>IF(E73=0," ",IF(E73="H",IF(OR(E73="SEN",H73&lt;1998),VLOOKUP(K73,Minimas!$A$11:$G$29,6),IF(AND(H73&gt;1997,H73&lt;2001),VLOOKUP(K73,Minimas!$A$11:$G$29,5),IF(AND(H73&gt;2000,H73&lt;2003),VLOOKUP(K73,Minimas!$A$11:$G$29,4),IF(AND(H73&gt;2002,H73&lt;2005),VLOOKUP(K73,Minimas!$A$11:$G$29,3),VLOOKUP(K73,Minimas!$A$11:$G$29,2))))),IF(OR(H73="SEN",H73&lt;1998),VLOOKUP(K73,Minimas!$G$11:$L$26,6),IF(AND(H73&gt;1997,H73&lt;2001),VLOOKUP(K73,Minimas!$G$11:$L$26,5),IF(AND(H73&gt;2000,H73&lt;2003),VLOOKUP(K73,Minimas!$G$11:$L$26,4),IF(AND(H73&gt;2002,H73&lt;2005),VLOOKUP(K73,Minimas!$G$11:$L$26,3),VLOOKUP(K73,Minimas!$G$11:$L$26,2)))))))</f>
        <v>J 69</v>
      </c>
      <c r="W73" s="62">
        <f t="shared" si="113"/>
        <v>261.30428354688001</v>
      </c>
      <c r="X73" s="63"/>
      <c r="Y73" s="156" t="s">
        <v>319</v>
      </c>
      <c r="AB73" s="90">
        <f>T73-HLOOKUP(V73,Minimas!$C$1:$BN$10,2,FALSE)</f>
        <v>85</v>
      </c>
      <c r="AC73" s="90">
        <f>T73-HLOOKUP(V73,Minimas!$C$1:$BN$10,3,FALSE)</f>
        <v>65</v>
      </c>
      <c r="AD73" s="90">
        <f>T73-HLOOKUP(V73,Minimas!$C$1:$BN$10,4,FALSE)</f>
        <v>45</v>
      </c>
      <c r="AE73" s="90">
        <f>T73-HLOOKUP(V73,Minimas!$C$1:$BN$10,5,FALSE)</f>
        <v>25</v>
      </c>
      <c r="AF73" s="90">
        <f>T73-HLOOKUP(V73,Minimas!$C$1:$BN$10,6,FALSE)</f>
        <v>5</v>
      </c>
      <c r="AG73" s="90">
        <f>T73-HLOOKUP(V73,Minimas!$C$1:$BN$10,7,FALSE)</f>
        <v>-25</v>
      </c>
      <c r="AH73" s="90">
        <f>T73-HLOOKUP(V73,Minimas!$C$1:$BN$10,8,FALSE)</f>
        <v>-45</v>
      </c>
      <c r="AI73" s="90">
        <f>T73-HLOOKUP(V73,Minimas!$C$1:$BN$10,9,FALSE)</f>
        <v>-65</v>
      </c>
      <c r="AJ73" s="90">
        <f>T73-HLOOKUP(V73,Minimas!$C$1:$BN$10,10,FALSE)</f>
        <v>-805</v>
      </c>
      <c r="AK73" s="91" t="str">
        <f t="shared" si="106"/>
        <v>FED +</v>
      </c>
      <c r="AM73" s="5" t="str">
        <f t="shared" si="114"/>
        <v>FED +</v>
      </c>
      <c r="AN73" s="5">
        <f t="shared" si="115"/>
        <v>5</v>
      </c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</row>
    <row r="74" spans="2:76" s="5" customFormat="1" ht="27.95" customHeight="1" x14ac:dyDescent="0.2">
      <c r="B74" s="148" t="s">
        <v>121</v>
      </c>
      <c r="C74" s="161">
        <v>429785</v>
      </c>
      <c r="D74" s="92">
        <v>10</v>
      </c>
      <c r="E74" s="84" t="s">
        <v>70</v>
      </c>
      <c r="F74" s="36" t="s">
        <v>334</v>
      </c>
      <c r="G74" s="37" t="s">
        <v>401</v>
      </c>
      <c r="H74" s="92">
        <v>1998</v>
      </c>
      <c r="I74" s="192" t="s">
        <v>556</v>
      </c>
      <c r="J74" s="35" t="s">
        <v>108</v>
      </c>
      <c r="K74" s="103">
        <v>68.2</v>
      </c>
      <c r="L74" s="38">
        <v>-85</v>
      </c>
      <c r="M74" s="39">
        <v>85</v>
      </c>
      <c r="N74" s="39">
        <v>-90</v>
      </c>
      <c r="O74" s="54">
        <f t="shared" si="109"/>
        <v>85</v>
      </c>
      <c r="P74" s="53">
        <v>105</v>
      </c>
      <c r="Q74" s="53">
        <v>110</v>
      </c>
      <c r="R74" s="53">
        <v>-115</v>
      </c>
      <c r="S74" s="54">
        <f t="shared" si="110"/>
        <v>110</v>
      </c>
      <c r="T74" s="55">
        <f t="shared" si="111"/>
        <v>195</v>
      </c>
      <c r="U74" s="56" t="str">
        <f t="shared" si="112"/>
        <v>FED + 5</v>
      </c>
      <c r="V74" s="86" t="str">
        <f>IF(E74=0," ",IF(E74="H",IF(OR(E74="SEN",H74&lt;1998),VLOOKUP(K74,Minimas!$A$11:$G$29,6),IF(AND(H74&gt;1997,H74&lt;2001),VLOOKUP(K74,Minimas!$A$11:$G$29,5),IF(AND(H74&gt;2000,H74&lt;2003),VLOOKUP(K74,Minimas!$A$11:$G$29,4),IF(AND(H74&gt;2002,H74&lt;2005),VLOOKUP(K74,Minimas!$A$11:$G$29,3),VLOOKUP(K74,Minimas!$A$11:$G$29,2))))),IF(OR(H74="SEN",H74&lt;1998),VLOOKUP(K74,Minimas!$G$11:$L$26,6),IF(AND(H74&gt;1997,H74&lt;2001),VLOOKUP(K74,Minimas!$G$11:$L$26,5),IF(AND(H74&gt;2000,H74&lt;2003),VLOOKUP(K74,Minimas!$G$11:$L$26,4),IF(AND(H74&gt;2002,H74&lt;2005),VLOOKUP(K74,Minimas!$G$11:$L$26,3),VLOOKUP(K74,Minimas!$G$11:$L$26,2)))))))</f>
        <v>J 69</v>
      </c>
      <c r="W74" s="62">
        <f t="shared" si="113"/>
        <v>261.06749353658461</v>
      </c>
      <c r="X74" s="63"/>
      <c r="Y74" s="155" t="s">
        <v>441</v>
      </c>
      <c r="AB74" s="90">
        <f>T74-HLOOKUP(V74,Minimas!$C$1:$BN$10,2,FALSE)</f>
        <v>85</v>
      </c>
      <c r="AC74" s="90">
        <f>T74-HLOOKUP(V74,Minimas!$C$1:$BN$10,3,FALSE)</f>
        <v>65</v>
      </c>
      <c r="AD74" s="90">
        <f>T74-HLOOKUP(V74,Minimas!$C$1:$BN$10,4,FALSE)</f>
        <v>45</v>
      </c>
      <c r="AE74" s="90">
        <f>T74-HLOOKUP(V74,Minimas!$C$1:$BN$10,5,FALSE)</f>
        <v>25</v>
      </c>
      <c r="AF74" s="90">
        <f>T74-HLOOKUP(V74,Minimas!$C$1:$BN$10,6,FALSE)</f>
        <v>5</v>
      </c>
      <c r="AG74" s="90">
        <f>T74-HLOOKUP(V74,Minimas!$C$1:$BN$10,7,FALSE)</f>
        <v>-25</v>
      </c>
      <c r="AH74" s="90">
        <f>T74-HLOOKUP(V74,Minimas!$C$1:$BN$10,8,FALSE)</f>
        <v>-45</v>
      </c>
      <c r="AI74" s="90">
        <f>T74-HLOOKUP(V74,Minimas!$C$1:$BN$10,9,FALSE)</f>
        <v>-65</v>
      </c>
      <c r="AJ74" s="90">
        <f>T74-HLOOKUP(V74,Minimas!$C$1:$BN$10,10,FALSE)</f>
        <v>-805</v>
      </c>
      <c r="AK74" s="91" t="str">
        <f t="shared" si="106"/>
        <v>FED +</v>
      </c>
      <c r="AM74" s="5" t="str">
        <f t="shared" si="114"/>
        <v>FED +</v>
      </c>
      <c r="AN74" s="5">
        <f t="shared" si="115"/>
        <v>5</v>
      </c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</row>
    <row r="75" spans="2:76" s="5" customFormat="1" ht="27.95" customHeight="1" x14ac:dyDescent="0.2">
      <c r="B75" s="148" t="s">
        <v>314</v>
      </c>
      <c r="C75" s="161">
        <v>430996</v>
      </c>
      <c r="D75" s="92">
        <v>11</v>
      </c>
      <c r="E75" s="84" t="s">
        <v>70</v>
      </c>
      <c r="F75" s="36" t="s">
        <v>251</v>
      </c>
      <c r="G75" s="37" t="s">
        <v>668</v>
      </c>
      <c r="H75" s="92">
        <v>2000</v>
      </c>
      <c r="I75" s="192" t="s">
        <v>557</v>
      </c>
      <c r="J75" s="35" t="s">
        <v>562</v>
      </c>
      <c r="K75" s="103">
        <v>67</v>
      </c>
      <c r="L75" s="38">
        <v>82</v>
      </c>
      <c r="M75" s="39">
        <v>86</v>
      </c>
      <c r="N75" s="39">
        <v>-90</v>
      </c>
      <c r="O75" s="54">
        <f t="shared" si="109"/>
        <v>86</v>
      </c>
      <c r="P75" s="53">
        <v>-100</v>
      </c>
      <c r="Q75" s="53">
        <v>101</v>
      </c>
      <c r="R75" s="53">
        <v>108</v>
      </c>
      <c r="S75" s="54">
        <f t="shared" si="110"/>
        <v>108</v>
      </c>
      <c r="T75" s="55">
        <f t="shared" si="111"/>
        <v>194</v>
      </c>
      <c r="U75" s="56" t="str">
        <f t="shared" si="112"/>
        <v>FED + 4</v>
      </c>
      <c r="V75" s="86" t="str">
        <f>IF(E75=0," ",IF(E75="H",IF(OR(E75="SEN",H75&lt;1998),VLOOKUP(K75,Minimas!$A$11:$G$29,6),IF(AND(H75&gt;1997,H75&lt;2001),VLOOKUP(K75,Minimas!$A$11:$G$29,5),IF(AND(H75&gt;2000,H75&lt;2003),VLOOKUP(K75,Minimas!$A$11:$G$29,4),IF(AND(H75&gt;2002,H75&lt;2005),VLOOKUP(K75,Minimas!$A$11:$G$29,3),VLOOKUP(K75,Minimas!$A$11:$G$29,2))))),IF(OR(H75="SEN",H75&lt;1998),VLOOKUP(K75,Minimas!$G$11:$L$26,6),IF(AND(H75&gt;1997,H75&lt;2001),VLOOKUP(K75,Minimas!$G$11:$L$26,5),IF(AND(H75&gt;2000,H75&lt;2003),VLOOKUP(K75,Minimas!$G$11:$L$26,4),IF(AND(H75&gt;2002,H75&lt;2005),VLOOKUP(K75,Minimas!$G$11:$L$26,3),VLOOKUP(K75,Minimas!$G$11:$L$26,2)))))))</f>
        <v>J 69</v>
      </c>
      <c r="W75" s="62">
        <f t="shared" si="113"/>
        <v>262.61784752725271</v>
      </c>
      <c r="X75" s="63"/>
      <c r="Y75" s="157" t="s">
        <v>131</v>
      </c>
      <c r="AB75" s="90">
        <f>T75-HLOOKUP(V75,Minimas!$C$1:$BN$10,2,FALSE)</f>
        <v>84</v>
      </c>
      <c r="AC75" s="90">
        <f>T75-HLOOKUP(V75,Minimas!$C$1:$BN$10,3,FALSE)</f>
        <v>64</v>
      </c>
      <c r="AD75" s="90">
        <f>T75-HLOOKUP(V75,Minimas!$C$1:$BN$10,4,FALSE)</f>
        <v>44</v>
      </c>
      <c r="AE75" s="90">
        <f>T75-HLOOKUP(V75,Minimas!$C$1:$BN$10,5,FALSE)</f>
        <v>24</v>
      </c>
      <c r="AF75" s="90">
        <f>T75-HLOOKUP(V75,Minimas!$C$1:$BN$10,6,FALSE)</f>
        <v>4</v>
      </c>
      <c r="AG75" s="90">
        <f>T75-HLOOKUP(V75,Minimas!$C$1:$BN$10,7,FALSE)</f>
        <v>-26</v>
      </c>
      <c r="AH75" s="90">
        <f>T75-HLOOKUP(V75,Minimas!$C$1:$BN$10,8,FALSE)</f>
        <v>-46</v>
      </c>
      <c r="AI75" s="90">
        <f>T75-HLOOKUP(V75,Minimas!$C$1:$BN$10,9,FALSE)</f>
        <v>-66</v>
      </c>
      <c r="AJ75" s="90">
        <f>T75-HLOOKUP(V75,Minimas!$C$1:$BN$10,10,FALSE)</f>
        <v>-806</v>
      </c>
      <c r="AK75" s="91" t="str">
        <f t="shared" si="106"/>
        <v>FED +</v>
      </c>
      <c r="AM75" s="5" t="str">
        <f t="shared" si="114"/>
        <v>FED +</v>
      </c>
      <c r="AN75" s="5">
        <f t="shared" si="115"/>
        <v>4</v>
      </c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</row>
    <row r="76" spans="2:76" s="5" customFormat="1" ht="27.95" customHeight="1" x14ac:dyDescent="0.2">
      <c r="B76" s="148" t="s">
        <v>189</v>
      </c>
      <c r="C76" s="161">
        <v>290461</v>
      </c>
      <c r="D76" s="92">
        <v>12</v>
      </c>
      <c r="E76" s="84" t="s">
        <v>70</v>
      </c>
      <c r="F76" s="36" t="s">
        <v>252</v>
      </c>
      <c r="G76" s="37" t="s">
        <v>669</v>
      </c>
      <c r="H76" s="92">
        <v>1998</v>
      </c>
      <c r="I76" s="192" t="s">
        <v>558</v>
      </c>
      <c r="J76" s="35" t="s">
        <v>108</v>
      </c>
      <c r="K76" s="103">
        <v>68.599999999999994</v>
      </c>
      <c r="L76" s="38">
        <v>85</v>
      </c>
      <c r="M76" s="39">
        <v>89</v>
      </c>
      <c r="N76" s="39">
        <v>-92</v>
      </c>
      <c r="O76" s="54">
        <f t="shared" si="109"/>
        <v>89</v>
      </c>
      <c r="P76" s="53">
        <v>105</v>
      </c>
      <c r="Q76" s="53">
        <v>-111</v>
      </c>
      <c r="R76" s="53">
        <v>-112</v>
      </c>
      <c r="S76" s="54">
        <f t="shared" si="110"/>
        <v>105</v>
      </c>
      <c r="T76" s="55">
        <f t="shared" si="111"/>
        <v>194</v>
      </c>
      <c r="U76" s="56" t="str">
        <f t="shared" si="112"/>
        <v>FED + 4</v>
      </c>
      <c r="V76" s="86" t="str">
        <f>IF(E76=0," ",IF(E76="H",IF(OR(E76="SEN",H76&lt;1998),VLOOKUP(K76,Minimas!$A$11:$G$29,6),IF(AND(H76&gt;1997,H76&lt;2001),VLOOKUP(K76,Minimas!$A$11:$G$29,5),IF(AND(H76&gt;2000,H76&lt;2003),VLOOKUP(K76,Minimas!$A$11:$G$29,4),IF(AND(H76&gt;2002,H76&lt;2005),VLOOKUP(K76,Minimas!$A$11:$G$29,3),VLOOKUP(K76,Minimas!$A$11:$G$29,2))))),IF(OR(H76="SEN",H76&lt;1998),VLOOKUP(K76,Minimas!$G$11:$L$26,6),IF(AND(H76&gt;1997,H76&lt;2001),VLOOKUP(K76,Minimas!$G$11:$L$26,5),IF(AND(H76&gt;2000,H76&lt;2003),VLOOKUP(K76,Minimas!$G$11:$L$26,4),IF(AND(H76&gt;2002,H76&lt;2005),VLOOKUP(K76,Minimas!$G$11:$L$26,3),VLOOKUP(K76,Minimas!$G$11:$L$26,2)))))))</f>
        <v>J 69</v>
      </c>
      <c r="W76" s="62">
        <f t="shared" si="113"/>
        <v>258.79555893100604</v>
      </c>
      <c r="X76" s="63"/>
      <c r="Y76" s="157" t="s">
        <v>131</v>
      </c>
      <c r="AB76" s="90">
        <f>T76-HLOOKUP(V76,Minimas!$C$1:$BN$10,2,FALSE)</f>
        <v>84</v>
      </c>
      <c r="AC76" s="90">
        <f>T76-HLOOKUP(V76,Minimas!$C$1:$BN$10,3,FALSE)</f>
        <v>64</v>
      </c>
      <c r="AD76" s="90">
        <f>T76-HLOOKUP(V76,Minimas!$C$1:$BN$10,4,FALSE)</f>
        <v>44</v>
      </c>
      <c r="AE76" s="90">
        <f>T76-HLOOKUP(V76,Minimas!$C$1:$BN$10,5,FALSE)</f>
        <v>24</v>
      </c>
      <c r="AF76" s="90">
        <f>T76-HLOOKUP(V76,Minimas!$C$1:$BN$10,6,FALSE)</f>
        <v>4</v>
      </c>
      <c r="AG76" s="90">
        <f>T76-HLOOKUP(V76,Minimas!$C$1:$BN$10,7,FALSE)</f>
        <v>-26</v>
      </c>
      <c r="AH76" s="90">
        <f>T76-HLOOKUP(V76,Minimas!$C$1:$BN$10,8,FALSE)</f>
        <v>-46</v>
      </c>
      <c r="AI76" s="90">
        <f>T76-HLOOKUP(V76,Minimas!$C$1:$BN$10,9,FALSE)</f>
        <v>-66</v>
      </c>
      <c r="AJ76" s="90">
        <f>T76-HLOOKUP(V76,Minimas!$C$1:$BN$10,10,FALSE)</f>
        <v>-806</v>
      </c>
      <c r="AK76" s="91" t="str">
        <f t="shared" si="106"/>
        <v>FED +</v>
      </c>
      <c r="AM76" s="5" t="str">
        <f t="shared" si="114"/>
        <v>FED +</v>
      </c>
      <c r="AN76" s="5">
        <f t="shared" si="115"/>
        <v>4</v>
      </c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</row>
    <row r="77" spans="2:76" s="5" customFormat="1" ht="27.95" customHeight="1" x14ac:dyDescent="0.2">
      <c r="B77" s="148" t="s">
        <v>121</v>
      </c>
      <c r="C77" s="161">
        <v>377278</v>
      </c>
      <c r="D77" s="92">
        <v>13</v>
      </c>
      <c r="E77" s="84" t="s">
        <v>70</v>
      </c>
      <c r="F77" s="36" t="s">
        <v>499</v>
      </c>
      <c r="G77" s="37" t="s">
        <v>500</v>
      </c>
      <c r="H77" s="92">
        <v>1998</v>
      </c>
      <c r="I77" s="192" t="s">
        <v>559</v>
      </c>
      <c r="J77" s="35" t="s">
        <v>108</v>
      </c>
      <c r="K77" s="103">
        <v>65.8</v>
      </c>
      <c r="L77" s="38">
        <v>85</v>
      </c>
      <c r="M77" s="39">
        <v>-88</v>
      </c>
      <c r="N77" s="39">
        <v>-88</v>
      </c>
      <c r="O77" s="54">
        <f t="shared" si="109"/>
        <v>85</v>
      </c>
      <c r="P77" s="53">
        <v>100</v>
      </c>
      <c r="Q77" s="53">
        <v>105</v>
      </c>
      <c r="R77" s="53">
        <v>108</v>
      </c>
      <c r="S77" s="54">
        <f t="shared" si="110"/>
        <v>108</v>
      </c>
      <c r="T77" s="55">
        <f t="shared" si="111"/>
        <v>193</v>
      </c>
      <c r="U77" s="56" t="str">
        <f t="shared" si="112"/>
        <v>FED + 3</v>
      </c>
      <c r="V77" s="86" t="str">
        <f>IF(E77=0," ",IF(E77="H",IF(OR(E77="SEN",H77&lt;1998),VLOOKUP(K77,Minimas!$A$11:$G$29,6),IF(AND(H77&gt;1997,H77&lt;2001),VLOOKUP(K77,Minimas!$A$11:$G$29,5),IF(AND(H77&gt;2000,H77&lt;2003),VLOOKUP(K77,Minimas!$A$11:$G$29,4),IF(AND(H77&gt;2002,H77&lt;2005),VLOOKUP(K77,Minimas!$A$11:$G$29,3),VLOOKUP(K77,Minimas!$A$11:$G$29,2))))),IF(OR(H77="SEN",H77&lt;1998),VLOOKUP(K77,Minimas!$G$11:$L$26,6),IF(AND(H77&gt;1997,H77&lt;2001),VLOOKUP(K77,Minimas!$G$11:$L$26,5),IF(AND(H77&gt;2000,H77&lt;2003),VLOOKUP(K77,Minimas!$G$11:$L$26,4),IF(AND(H77&gt;2002,H77&lt;2005),VLOOKUP(K77,Minimas!$G$11:$L$26,3),VLOOKUP(K77,Minimas!$G$11:$L$26,2)))))))</f>
        <v>J 69</v>
      </c>
      <c r="W77" s="62">
        <f t="shared" si="113"/>
        <v>264.27908278698442</v>
      </c>
      <c r="X77" s="63"/>
      <c r="Y77" s="155" t="s">
        <v>441</v>
      </c>
      <c r="AB77" s="90">
        <f>T77-HLOOKUP(V77,Minimas!$C$1:$BN$10,2,FALSE)</f>
        <v>83</v>
      </c>
      <c r="AC77" s="90">
        <f>T77-HLOOKUP(V77,Minimas!$C$1:$BN$10,3,FALSE)</f>
        <v>63</v>
      </c>
      <c r="AD77" s="90">
        <f>T77-HLOOKUP(V77,Minimas!$C$1:$BN$10,4,FALSE)</f>
        <v>43</v>
      </c>
      <c r="AE77" s="90">
        <f>T77-HLOOKUP(V77,Minimas!$C$1:$BN$10,5,FALSE)</f>
        <v>23</v>
      </c>
      <c r="AF77" s="90">
        <f>T77-HLOOKUP(V77,Minimas!$C$1:$BN$10,6,FALSE)</f>
        <v>3</v>
      </c>
      <c r="AG77" s="90">
        <f>T77-HLOOKUP(V77,Minimas!$C$1:$BN$10,7,FALSE)</f>
        <v>-27</v>
      </c>
      <c r="AH77" s="90">
        <f>T77-HLOOKUP(V77,Minimas!$C$1:$BN$10,8,FALSE)</f>
        <v>-47</v>
      </c>
      <c r="AI77" s="90">
        <f>T77-HLOOKUP(V77,Minimas!$C$1:$BN$10,9,FALSE)</f>
        <v>-67</v>
      </c>
      <c r="AJ77" s="90">
        <f>T77-HLOOKUP(V77,Minimas!$C$1:$BN$10,10,FALSE)</f>
        <v>-807</v>
      </c>
      <c r="AK77" s="91" t="str">
        <f t="shared" si="106"/>
        <v>FED +</v>
      </c>
      <c r="AM77" s="5" t="str">
        <f t="shared" si="114"/>
        <v>FED +</v>
      </c>
      <c r="AN77" s="5">
        <f t="shared" si="115"/>
        <v>3</v>
      </c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</row>
    <row r="78" spans="2:76" s="5" customFormat="1" ht="27.95" customHeight="1" x14ac:dyDescent="0.2">
      <c r="B78" s="148" t="s">
        <v>189</v>
      </c>
      <c r="C78" s="161">
        <v>400622</v>
      </c>
      <c r="D78" s="92">
        <v>14</v>
      </c>
      <c r="E78" s="84" t="s">
        <v>70</v>
      </c>
      <c r="F78" s="36" t="s">
        <v>253</v>
      </c>
      <c r="G78" s="37" t="s">
        <v>254</v>
      </c>
      <c r="H78" s="92">
        <v>1998</v>
      </c>
      <c r="I78" s="192" t="s">
        <v>549</v>
      </c>
      <c r="J78" s="35" t="s">
        <v>108</v>
      </c>
      <c r="K78" s="103">
        <v>66.5</v>
      </c>
      <c r="L78" s="38">
        <v>82</v>
      </c>
      <c r="M78" s="39">
        <v>85</v>
      </c>
      <c r="N78" s="39">
        <v>0</v>
      </c>
      <c r="O78" s="54">
        <f t="shared" si="109"/>
        <v>85</v>
      </c>
      <c r="P78" s="53">
        <v>100</v>
      </c>
      <c r="Q78" s="53">
        <v>105</v>
      </c>
      <c r="R78" s="53">
        <v>0</v>
      </c>
      <c r="S78" s="54">
        <f t="shared" si="110"/>
        <v>105</v>
      </c>
      <c r="T78" s="55">
        <f t="shared" si="111"/>
        <v>190</v>
      </c>
      <c r="U78" s="56" t="str">
        <f t="shared" si="112"/>
        <v>FED + 0</v>
      </c>
      <c r="V78" s="86" t="str">
        <f>IF(E78=0," ",IF(E78="H",IF(OR(E78="SEN",H78&lt;1998),VLOOKUP(K78,Minimas!$A$11:$G$29,6),IF(AND(H78&gt;1997,H78&lt;2001),VLOOKUP(K78,Minimas!$A$11:$G$29,5),IF(AND(H78&gt;2000,H78&lt;2003),VLOOKUP(K78,Minimas!$A$11:$G$29,4),IF(AND(H78&gt;2002,H78&lt;2005),VLOOKUP(K78,Minimas!$A$11:$G$29,3),VLOOKUP(K78,Minimas!$A$11:$G$29,2))))),IF(OR(H78="SEN",H78&lt;1998),VLOOKUP(K78,Minimas!$G$11:$L$26,6),IF(AND(H78&gt;1997,H78&lt;2001),VLOOKUP(K78,Minimas!$G$11:$L$26,5),IF(AND(H78&gt;2000,H78&lt;2003),VLOOKUP(K78,Minimas!$G$11:$L$26,4),IF(AND(H78&gt;2002,H78&lt;2005),VLOOKUP(K78,Minimas!$G$11:$L$26,3),VLOOKUP(K78,Minimas!$G$11:$L$26,2)))))))</f>
        <v>J 69</v>
      </c>
      <c r="W78" s="62">
        <f t="shared" si="113"/>
        <v>258.4224100867637</v>
      </c>
      <c r="X78" s="63"/>
      <c r="Y78" s="157" t="s">
        <v>131</v>
      </c>
      <c r="AB78" s="90">
        <f>T78-HLOOKUP(V78,Minimas!$C$1:$BN$10,2,FALSE)</f>
        <v>80</v>
      </c>
      <c r="AC78" s="90">
        <f>T78-HLOOKUP(V78,Minimas!$C$1:$BN$10,3,FALSE)</f>
        <v>60</v>
      </c>
      <c r="AD78" s="90">
        <f>T78-HLOOKUP(V78,Minimas!$C$1:$BN$10,4,FALSE)</f>
        <v>40</v>
      </c>
      <c r="AE78" s="90">
        <f>T78-HLOOKUP(V78,Minimas!$C$1:$BN$10,5,FALSE)</f>
        <v>20</v>
      </c>
      <c r="AF78" s="90">
        <f>T78-HLOOKUP(V78,Minimas!$C$1:$BN$10,6,FALSE)</f>
        <v>0</v>
      </c>
      <c r="AG78" s="90">
        <f>T78-HLOOKUP(V78,Minimas!$C$1:$BN$10,7,FALSE)</f>
        <v>-30</v>
      </c>
      <c r="AH78" s="90">
        <f>T78-HLOOKUP(V78,Minimas!$C$1:$BN$10,8,FALSE)</f>
        <v>-50</v>
      </c>
      <c r="AI78" s="90">
        <f>T78-HLOOKUP(V78,Minimas!$C$1:$BN$10,9,FALSE)</f>
        <v>-70</v>
      </c>
      <c r="AJ78" s="90">
        <f>T78-HLOOKUP(V78,Minimas!$C$1:$BN$10,10,FALSE)</f>
        <v>-810</v>
      </c>
      <c r="AK78" s="91" t="str">
        <f t="shared" si="106"/>
        <v>FED +</v>
      </c>
      <c r="AM78" s="5" t="str">
        <f t="shared" si="114"/>
        <v>FED +</v>
      </c>
      <c r="AN78" s="5">
        <f t="shared" si="115"/>
        <v>0</v>
      </c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</row>
    <row r="79" spans="2:76" s="5" customFormat="1" ht="27.95" customHeight="1" x14ac:dyDescent="0.2">
      <c r="B79" s="148" t="s">
        <v>314</v>
      </c>
      <c r="C79" s="161">
        <v>419944</v>
      </c>
      <c r="D79" s="92">
        <v>15</v>
      </c>
      <c r="E79" s="84" t="s">
        <v>70</v>
      </c>
      <c r="F79" s="36" t="s">
        <v>255</v>
      </c>
      <c r="G79" s="37" t="s">
        <v>670</v>
      </c>
      <c r="H79" s="92">
        <v>1999</v>
      </c>
      <c r="I79" s="192" t="s">
        <v>557</v>
      </c>
      <c r="J79" s="35" t="s">
        <v>108</v>
      </c>
      <c r="K79" s="103">
        <v>67.900000000000006</v>
      </c>
      <c r="L79" s="38">
        <v>83</v>
      </c>
      <c r="M79" s="39">
        <v>88</v>
      </c>
      <c r="N79" s="39">
        <v>-91</v>
      </c>
      <c r="O79" s="54">
        <f t="shared" si="109"/>
        <v>88</v>
      </c>
      <c r="P79" s="53">
        <v>102</v>
      </c>
      <c r="Q79" s="53">
        <v>-116</v>
      </c>
      <c r="R79" s="53">
        <v>-116</v>
      </c>
      <c r="S79" s="54">
        <f t="shared" si="110"/>
        <v>102</v>
      </c>
      <c r="T79" s="55">
        <f t="shared" si="111"/>
        <v>190</v>
      </c>
      <c r="U79" s="56" t="str">
        <f t="shared" si="112"/>
        <v>FED + 0</v>
      </c>
      <c r="V79" s="86" t="str">
        <f>IF(E79=0," ",IF(E79="H",IF(OR(E79="SEN",H79&lt;1998),VLOOKUP(K79,Minimas!$A$11:$G$29,6),IF(AND(H79&gt;1997,H79&lt;2001),VLOOKUP(K79,Minimas!$A$11:$G$29,5),IF(AND(H79&gt;2000,H79&lt;2003),VLOOKUP(K79,Minimas!$A$11:$G$29,4),IF(AND(H79&gt;2002,H79&lt;2005),VLOOKUP(K79,Minimas!$A$11:$G$29,3),VLOOKUP(K79,Minimas!$A$11:$G$29,2))))),IF(OR(H79="SEN",H79&lt;1998),VLOOKUP(K79,Minimas!$G$11:$L$26,6),IF(AND(H79&gt;1997,H79&lt;2001),VLOOKUP(K79,Minimas!$G$11:$L$26,5),IF(AND(H79&gt;2000,H79&lt;2003),VLOOKUP(K79,Minimas!$G$11:$L$26,4),IF(AND(H79&gt;2002,H79&lt;2005),VLOOKUP(K79,Minimas!$G$11:$L$26,3),VLOOKUP(K79,Minimas!$G$11:$L$26,2)))))))</f>
        <v>J 69</v>
      </c>
      <c r="W79" s="62">
        <f t="shared" si="113"/>
        <v>255.06833911674627</v>
      </c>
      <c r="X79" s="63"/>
      <c r="Y79" s="157" t="s">
        <v>131</v>
      </c>
      <c r="AB79" s="90">
        <f>T79-HLOOKUP(V79,Minimas!$C$1:$BN$10,2,FALSE)</f>
        <v>80</v>
      </c>
      <c r="AC79" s="90">
        <f>T79-HLOOKUP(V79,Minimas!$C$1:$BN$10,3,FALSE)</f>
        <v>60</v>
      </c>
      <c r="AD79" s="90">
        <f>T79-HLOOKUP(V79,Minimas!$C$1:$BN$10,4,FALSE)</f>
        <v>40</v>
      </c>
      <c r="AE79" s="90">
        <f>T79-HLOOKUP(V79,Minimas!$C$1:$BN$10,5,FALSE)</f>
        <v>20</v>
      </c>
      <c r="AF79" s="90">
        <f>T79-HLOOKUP(V79,Minimas!$C$1:$BN$10,6,FALSE)</f>
        <v>0</v>
      </c>
      <c r="AG79" s="90">
        <f>T79-HLOOKUP(V79,Minimas!$C$1:$BN$10,7,FALSE)</f>
        <v>-30</v>
      </c>
      <c r="AH79" s="90">
        <f>T79-HLOOKUP(V79,Minimas!$C$1:$BN$10,8,FALSE)</f>
        <v>-50</v>
      </c>
      <c r="AI79" s="90">
        <f>T79-HLOOKUP(V79,Minimas!$C$1:$BN$10,9,FALSE)</f>
        <v>-70</v>
      </c>
      <c r="AJ79" s="90">
        <f>T79-HLOOKUP(V79,Minimas!$C$1:$BN$10,10,FALSE)</f>
        <v>-810</v>
      </c>
      <c r="AK79" s="91" t="str">
        <f t="shared" si="106"/>
        <v>FED +</v>
      </c>
      <c r="AM79" s="5" t="str">
        <f t="shared" si="114"/>
        <v>FED +</v>
      </c>
      <c r="AN79" s="5">
        <f t="shared" si="115"/>
        <v>0</v>
      </c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</row>
    <row r="80" spans="2:76" s="5" customFormat="1" ht="27.95" customHeight="1" x14ac:dyDescent="0.2">
      <c r="B80" s="148" t="s">
        <v>120</v>
      </c>
      <c r="C80" s="161">
        <v>328452</v>
      </c>
      <c r="D80" s="92">
        <v>16</v>
      </c>
      <c r="E80" s="84" t="s">
        <v>70</v>
      </c>
      <c r="F80" s="36" t="s">
        <v>501</v>
      </c>
      <c r="G80" s="37" t="s">
        <v>502</v>
      </c>
      <c r="H80" s="92">
        <v>1998</v>
      </c>
      <c r="I80" s="192" t="s">
        <v>151</v>
      </c>
      <c r="J80" s="35" t="s">
        <v>108</v>
      </c>
      <c r="K80" s="103">
        <v>64.63</v>
      </c>
      <c r="L80" s="38">
        <v>-80</v>
      </c>
      <c r="M80" s="39">
        <v>-80</v>
      </c>
      <c r="N80" s="39">
        <v>80</v>
      </c>
      <c r="O80" s="54">
        <f t="shared" si="109"/>
        <v>80</v>
      </c>
      <c r="P80" s="53">
        <v>-110</v>
      </c>
      <c r="Q80" s="53">
        <v>110</v>
      </c>
      <c r="R80" s="53">
        <v>-120</v>
      </c>
      <c r="S80" s="54">
        <f t="shared" si="110"/>
        <v>110</v>
      </c>
      <c r="T80" s="55">
        <f t="shared" si="111"/>
        <v>190</v>
      </c>
      <c r="U80" s="56" t="str">
        <f t="shared" si="112"/>
        <v>FED + 0</v>
      </c>
      <c r="V80" s="86" t="str">
        <f>IF(E80=0," ",IF(E80="H",IF(OR(E80="SEN",H80&lt;1998),VLOOKUP(K80,Minimas!$A$11:$G$29,6),IF(AND(H80&gt;1997,H80&lt;2001),VLOOKUP(K80,Minimas!$A$11:$G$29,5),IF(AND(H80&gt;2000,H80&lt;2003),VLOOKUP(K80,Minimas!$A$11:$G$29,4),IF(AND(H80&gt;2002,H80&lt;2005),VLOOKUP(K80,Minimas!$A$11:$G$29,3),VLOOKUP(K80,Minimas!$A$11:$G$29,2))))),IF(OR(H80="SEN",H80&lt;1998),VLOOKUP(K80,Minimas!$G$11:$L$26,6),IF(AND(H80&gt;1997,H80&lt;2001),VLOOKUP(K80,Minimas!$G$11:$L$26,5),IF(AND(H80&gt;2000,H80&lt;2003),VLOOKUP(K80,Minimas!$G$11:$L$26,4),IF(AND(H80&gt;2002,H80&lt;2005),VLOOKUP(K80,Minimas!$G$11:$L$26,3),VLOOKUP(K80,Minimas!$G$11:$L$26,2)))))))</f>
        <v>J 69</v>
      </c>
      <c r="W80" s="62">
        <f t="shared" si="113"/>
        <v>263.20697814470844</v>
      </c>
      <c r="X80" s="63"/>
      <c r="Y80" s="155" t="s">
        <v>441</v>
      </c>
      <c r="AB80" s="90">
        <f>T80-HLOOKUP(V80,Minimas!$C$1:$BN$10,2,FALSE)</f>
        <v>80</v>
      </c>
      <c r="AC80" s="90">
        <f>T80-HLOOKUP(V80,Minimas!$C$1:$BN$10,3,FALSE)</f>
        <v>60</v>
      </c>
      <c r="AD80" s="90">
        <f>T80-HLOOKUP(V80,Minimas!$C$1:$BN$10,4,FALSE)</f>
        <v>40</v>
      </c>
      <c r="AE80" s="90">
        <f>T80-HLOOKUP(V80,Minimas!$C$1:$BN$10,5,FALSE)</f>
        <v>20</v>
      </c>
      <c r="AF80" s="90">
        <f>T80-HLOOKUP(V80,Minimas!$C$1:$BN$10,6,FALSE)</f>
        <v>0</v>
      </c>
      <c r="AG80" s="90">
        <f>T80-HLOOKUP(V80,Minimas!$C$1:$BN$10,7,FALSE)</f>
        <v>-30</v>
      </c>
      <c r="AH80" s="90">
        <f>T80-HLOOKUP(V80,Minimas!$C$1:$BN$10,8,FALSE)</f>
        <v>-50</v>
      </c>
      <c r="AI80" s="90">
        <f>T80-HLOOKUP(V80,Minimas!$C$1:$BN$10,9,FALSE)</f>
        <v>-70</v>
      </c>
      <c r="AJ80" s="90">
        <f>T80-HLOOKUP(V80,Minimas!$C$1:$BN$10,10,FALSE)</f>
        <v>-810</v>
      </c>
      <c r="AK80" s="91" t="str">
        <f t="shared" si="106"/>
        <v>FED +</v>
      </c>
      <c r="AM80" s="5" t="str">
        <f t="shared" si="114"/>
        <v>FED +</v>
      </c>
      <c r="AN80" s="5">
        <f t="shared" si="115"/>
        <v>0</v>
      </c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</row>
    <row r="81" spans="1:123" s="5" customFormat="1" ht="27.95" customHeight="1" thickBot="1" x14ac:dyDescent="0.25">
      <c r="B81" s="148" t="s">
        <v>122</v>
      </c>
      <c r="C81" s="161" t="s">
        <v>503</v>
      </c>
      <c r="D81" s="92">
        <v>17</v>
      </c>
      <c r="E81" s="84" t="s">
        <v>70</v>
      </c>
      <c r="F81" s="36" t="s">
        <v>504</v>
      </c>
      <c r="G81" s="37" t="s">
        <v>505</v>
      </c>
      <c r="H81" s="92">
        <v>1999</v>
      </c>
      <c r="I81" s="192" t="s">
        <v>560</v>
      </c>
      <c r="J81" s="35" t="s">
        <v>108</v>
      </c>
      <c r="K81" s="103">
        <v>67.599999999999994</v>
      </c>
      <c r="L81" s="38">
        <v>-80</v>
      </c>
      <c r="M81" s="39">
        <v>85</v>
      </c>
      <c r="N81" s="39">
        <v>87</v>
      </c>
      <c r="O81" s="54">
        <f t="shared" si="109"/>
        <v>87</v>
      </c>
      <c r="P81" s="53">
        <v>95</v>
      </c>
      <c r="Q81" s="53">
        <v>103</v>
      </c>
      <c r="R81" s="53">
        <v>-107</v>
      </c>
      <c r="S81" s="54">
        <f t="shared" si="110"/>
        <v>103</v>
      </c>
      <c r="T81" s="55">
        <f t="shared" si="111"/>
        <v>190</v>
      </c>
      <c r="U81" s="56" t="str">
        <f t="shared" si="112"/>
        <v>FED + 0</v>
      </c>
      <c r="V81" s="86" t="str">
        <f>IF(E81=0," ",IF(E81="H",IF(OR(E81="SEN",H81&lt;1998),VLOOKUP(K81,Minimas!$A$11:$G$29,6),IF(AND(H81&gt;1997,H81&lt;2001),VLOOKUP(K81,Minimas!$A$11:$G$29,5),IF(AND(H81&gt;2000,H81&lt;2003),VLOOKUP(K81,Minimas!$A$11:$G$29,4),IF(AND(H81&gt;2002,H81&lt;2005),VLOOKUP(K81,Minimas!$A$11:$G$29,3),VLOOKUP(K81,Minimas!$A$11:$G$29,2))))),IF(OR(H81="SEN",H81&lt;1998),VLOOKUP(K81,Minimas!$G$11:$L$26,6),IF(AND(H81&gt;1997,H81&lt;2001),VLOOKUP(K81,Minimas!$G$11:$L$26,5),IF(AND(H81&gt;2000,H81&lt;2003),VLOOKUP(K81,Minimas!$G$11:$L$26,4),IF(AND(H81&gt;2002,H81&lt;2005),VLOOKUP(K81,Minimas!$G$11:$L$26,3),VLOOKUP(K81,Minimas!$G$11:$L$26,2)))))))</f>
        <v>J 69</v>
      </c>
      <c r="W81" s="62">
        <f t="shared" si="113"/>
        <v>255.77147912162064</v>
      </c>
      <c r="X81" s="63"/>
      <c r="Y81" s="155" t="s">
        <v>441</v>
      </c>
      <c r="AB81" s="90">
        <f>T81-HLOOKUP(V81,Minimas!$C$1:$BN$10,2,FALSE)</f>
        <v>80</v>
      </c>
      <c r="AC81" s="90">
        <f>T81-HLOOKUP(V81,Minimas!$C$1:$BN$10,3,FALSE)</f>
        <v>60</v>
      </c>
      <c r="AD81" s="90">
        <f>T81-HLOOKUP(V81,Minimas!$C$1:$BN$10,4,FALSE)</f>
        <v>40</v>
      </c>
      <c r="AE81" s="90">
        <f>T81-HLOOKUP(V81,Minimas!$C$1:$BN$10,5,FALSE)</f>
        <v>20</v>
      </c>
      <c r="AF81" s="90">
        <f>T81-HLOOKUP(V81,Minimas!$C$1:$BN$10,6,FALSE)</f>
        <v>0</v>
      </c>
      <c r="AG81" s="90">
        <f>T81-HLOOKUP(V81,Minimas!$C$1:$BN$10,7,FALSE)</f>
        <v>-30</v>
      </c>
      <c r="AH81" s="90">
        <f>T81-HLOOKUP(V81,Minimas!$C$1:$BN$10,8,FALSE)</f>
        <v>-50</v>
      </c>
      <c r="AI81" s="90">
        <f>T81-HLOOKUP(V81,Minimas!$C$1:$BN$10,9,FALSE)</f>
        <v>-70</v>
      </c>
      <c r="AJ81" s="90">
        <f>T81-HLOOKUP(V81,Minimas!$C$1:$BN$10,10,FALSE)</f>
        <v>-810</v>
      </c>
      <c r="AK81" s="91" t="str">
        <f t="shared" si="106"/>
        <v>FED +</v>
      </c>
      <c r="AM81" s="5" t="str">
        <f t="shared" si="114"/>
        <v>FED +</v>
      </c>
      <c r="AN81" s="5">
        <f t="shared" si="115"/>
        <v>0</v>
      </c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</row>
    <row r="82" spans="1:123" s="11" customFormat="1" ht="5.0999999999999996" customHeight="1" thickBot="1" x14ac:dyDescent="0.25">
      <c r="A82" s="8"/>
      <c r="B82" s="147"/>
      <c r="C82" s="160"/>
      <c r="D82" s="41"/>
      <c r="E82" s="41"/>
      <c r="F82" s="42"/>
      <c r="G82" s="43"/>
      <c r="H82" s="44"/>
      <c r="I82" s="193"/>
      <c r="J82" s="40"/>
      <c r="K82" s="101"/>
      <c r="L82" s="45"/>
      <c r="M82" s="45"/>
      <c r="N82" s="45"/>
      <c r="O82" s="46"/>
      <c r="P82" s="45"/>
      <c r="Q82" s="45"/>
      <c r="R82" s="45"/>
      <c r="S82" s="46"/>
      <c r="T82" s="46"/>
      <c r="U82" s="41"/>
      <c r="V82" s="48"/>
      <c r="W82" s="47"/>
      <c r="X82" s="7"/>
      <c r="Y82" s="154"/>
      <c r="Z82" s="7"/>
      <c r="AA82" s="7"/>
      <c r="AB82" s="89" t="s">
        <v>60</v>
      </c>
      <c r="AC82" s="89" t="s">
        <v>61</v>
      </c>
      <c r="AD82" s="89" t="s">
        <v>62</v>
      </c>
      <c r="AE82" s="89" t="s">
        <v>63</v>
      </c>
      <c r="AF82" s="89" t="s">
        <v>64</v>
      </c>
      <c r="AG82" s="89" t="s">
        <v>65</v>
      </c>
      <c r="AH82" s="89" t="s">
        <v>66</v>
      </c>
      <c r="AI82" s="89" t="s">
        <v>67</v>
      </c>
      <c r="AJ82" s="89" t="s">
        <v>68</v>
      </c>
      <c r="AK82" s="89"/>
      <c r="AL82" s="7"/>
      <c r="AM82" s="7"/>
      <c r="AN82" s="7"/>
      <c r="AO82" s="7"/>
      <c r="AP82" s="7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</row>
    <row r="83" spans="1:123" s="5" customFormat="1" ht="27.95" customHeight="1" x14ac:dyDescent="0.2">
      <c r="B83" s="148" t="s">
        <v>123</v>
      </c>
      <c r="C83" s="161">
        <v>375877</v>
      </c>
      <c r="D83" s="92">
        <v>1</v>
      </c>
      <c r="E83" s="84" t="s">
        <v>70</v>
      </c>
      <c r="F83" s="36" t="s">
        <v>506</v>
      </c>
      <c r="G83" s="37" t="s">
        <v>663</v>
      </c>
      <c r="H83" s="92">
        <v>1998</v>
      </c>
      <c r="I83" s="192" t="s">
        <v>507</v>
      </c>
      <c r="J83" s="35" t="s">
        <v>108</v>
      </c>
      <c r="K83" s="103">
        <v>74.349999999999994</v>
      </c>
      <c r="L83" s="38">
        <v>-103</v>
      </c>
      <c r="M83" s="39">
        <v>-103</v>
      </c>
      <c r="N83" s="39">
        <v>103</v>
      </c>
      <c r="O83" s="54">
        <f t="shared" ref="O83" si="116">IF(E83="","",IF(MAXA(L83:N83)&lt;=0,0,MAXA(L83:N83)))</f>
        <v>103</v>
      </c>
      <c r="P83" s="53">
        <v>125</v>
      </c>
      <c r="Q83" s="53">
        <v>132</v>
      </c>
      <c r="R83" s="53">
        <v>-137</v>
      </c>
      <c r="S83" s="54">
        <f t="shared" ref="S83" si="117">IF(E83="","",IF(MAXA(P83:R83)&lt;=0,0,MAXA(P83:R83)))</f>
        <v>132</v>
      </c>
      <c r="T83" s="55">
        <f t="shared" ref="T83" si="118">IF(E83="","",IF(OR(O83=0,S83=0),0,O83+S83))</f>
        <v>235</v>
      </c>
      <c r="U83" s="56" t="str">
        <f t="shared" ref="U83" si="119">+CONCATENATE(AM83," ",AN83)</f>
        <v>FED + 25</v>
      </c>
      <c r="V83" s="86" t="str">
        <f>IF(E83=0," ",IF(E83="H",IF(OR(E83="SEN",H83&lt;1998),VLOOKUP(K83,Minimas!$A$11:$G$29,6),IF(AND(H83&gt;1997,H83&lt;2001),VLOOKUP(K83,Minimas!$A$11:$G$29,5),IF(AND(H83&gt;2000,H83&lt;2003),VLOOKUP(K83,Minimas!$A$11:$G$29,4),IF(AND(H83&gt;2002,H83&lt;2005),VLOOKUP(K83,Minimas!$A$11:$G$29,3),VLOOKUP(K83,Minimas!$A$11:$G$29,2))))),IF(OR(H83="SEN",H83&lt;1998),VLOOKUP(K83,Minimas!$G$11:$L$26,6),IF(AND(H83&gt;1997,H83&lt;2001),VLOOKUP(K83,Minimas!$G$11:$L$26,5),IF(AND(H83&gt;2000,H83&lt;2003),VLOOKUP(K83,Minimas!$G$11:$L$26,4),IF(AND(H83&gt;2002,H83&lt;2005),VLOOKUP(K83,Minimas!$G$11:$L$26,3),VLOOKUP(K83,Minimas!$G$11:$L$26,2)))))))</f>
        <v>J 77</v>
      </c>
      <c r="W83" s="62">
        <f t="shared" ref="W83" si="120">IF(E83=" "," ",IF(E83="H",10^(0.75194503*LOG(K83/175.508)^2)*T83,IF(E83="F",10^(0.783497476* LOG(K83/153.655)^2)*T83,"")))</f>
        <v>299.01582031498157</v>
      </c>
      <c r="X83" s="63"/>
      <c r="Y83" s="155" t="s">
        <v>441</v>
      </c>
      <c r="AB83" s="90">
        <f>T83-HLOOKUP(V83,Minimas!$C$1:$BN$10,2,FALSE)</f>
        <v>105</v>
      </c>
      <c r="AC83" s="90">
        <f>T83-HLOOKUP(V83,Minimas!$C$1:$BN$10,3,FALSE)</f>
        <v>85</v>
      </c>
      <c r="AD83" s="90">
        <f>T83-HLOOKUP(V83,Minimas!$C$1:$BN$10,4,FALSE)</f>
        <v>65</v>
      </c>
      <c r="AE83" s="90">
        <f>T83-HLOOKUP(V83,Minimas!$C$1:$BN$10,5,FALSE)</f>
        <v>45</v>
      </c>
      <c r="AF83" s="90">
        <f>T83-HLOOKUP(V83,Minimas!$C$1:$BN$10,6,FALSE)</f>
        <v>25</v>
      </c>
      <c r="AG83" s="90">
        <f>T83-HLOOKUP(V83,Minimas!$C$1:$BN$10,7,FALSE)</f>
        <v>-5</v>
      </c>
      <c r="AH83" s="90">
        <f>T83-HLOOKUP(V83,Minimas!$C$1:$BN$10,8,FALSE)</f>
        <v>-25</v>
      </c>
      <c r="AI83" s="90">
        <f>T83-HLOOKUP(V83,Minimas!$C$1:$BN$10,9,FALSE)</f>
        <v>-50</v>
      </c>
      <c r="AJ83" s="90">
        <f>T83-HLOOKUP(V83,Minimas!$C$1:$BN$10,10,FALSE)</f>
        <v>-9765</v>
      </c>
      <c r="AK83" s="91" t="str">
        <f>IF(E83=0," ",IF(AJ83&gt;=0,$AJ$5,IF(AI83&gt;=0,$AI$5,IF(AH83&gt;=0,$AH$5,IF(AG83&gt;=0,$AG$5,IF(AF83&gt;=0,$AF$5,IF(AE83&gt;=0,$AE$5,IF(AD83&gt;=0,$AD$5,IF(AC83&gt;=0,$AC$5,$AB$5)))))))))</f>
        <v>FED +</v>
      </c>
      <c r="AM83" s="5" t="str">
        <f t="shared" ref="AM83" si="121">IF(AK83="","",AK83)</f>
        <v>FED +</v>
      </c>
      <c r="AN83" s="5">
        <f t="shared" ref="AN83" si="122">IF(E83=0," ",IF(AJ83&gt;=0,AJ83,IF(AI83&gt;=0,AI83,IF(AH83&gt;=0,AH83,IF(AG83&gt;=0,AG83,IF(AF83&gt;=0,AF83,IF(AE83&gt;=0,AE83,IF(AD83&gt;=0,AD83,IF(AC83&gt;=0,AC83,AB83)))))))))</f>
        <v>25</v>
      </c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</row>
    <row r="84" spans="1:123" s="5" customFormat="1" ht="27.95" customHeight="1" x14ac:dyDescent="0.2">
      <c r="B84" s="148" t="s">
        <v>121</v>
      </c>
      <c r="C84" s="161">
        <v>305874</v>
      </c>
      <c r="D84" s="92">
        <v>2</v>
      </c>
      <c r="E84" s="84" t="s">
        <v>70</v>
      </c>
      <c r="F84" s="36" t="s">
        <v>256</v>
      </c>
      <c r="G84" s="37" t="s">
        <v>671</v>
      </c>
      <c r="H84" s="92">
        <v>1998</v>
      </c>
      <c r="I84" s="192" t="s">
        <v>561</v>
      </c>
      <c r="J84" s="35" t="s">
        <v>108</v>
      </c>
      <c r="K84" s="103">
        <v>74.3</v>
      </c>
      <c r="L84" s="38">
        <v>97</v>
      </c>
      <c r="M84" s="39">
        <v>101</v>
      </c>
      <c r="N84" s="39">
        <v>105</v>
      </c>
      <c r="O84" s="54">
        <f t="shared" ref="O84" si="123">IF(E84="","",IF(MAXA(L84:N84)&lt;=0,0,MAXA(L84:N84)))</f>
        <v>105</v>
      </c>
      <c r="P84" s="53">
        <v>-120</v>
      </c>
      <c r="Q84" s="53">
        <v>120</v>
      </c>
      <c r="R84" s="53">
        <v>-130</v>
      </c>
      <c r="S84" s="54">
        <f t="shared" ref="S84" si="124">IF(E84="","",IF(MAXA(P84:R84)&lt;=0,0,MAXA(P84:R84)))</f>
        <v>120</v>
      </c>
      <c r="T84" s="55">
        <f t="shared" ref="T84" si="125">IF(E84="","",IF(OR(O84=0,S84=0),0,O84+S84))</f>
        <v>225</v>
      </c>
      <c r="U84" s="56" t="str">
        <f t="shared" ref="U84" si="126">+CONCATENATE(AM84," ",AN84)</f>
        <v>FED + 15</v>
      </c>
      <c r="V84" s="86" t="str">
        <f>IF(E84=0," ",IF(E84="H",IF(OR(E84="SEN",H84&lt;1998),VLOOKUP(K84,Minimas!$A$11:$G$29,6),IF(AND(H84&gt;1997,H84&lt;2001),VLOOKUP(K84,Minimas!$A$11:$G$29,5),IF(AND(H84&gt;2000,H84&lt;2003),VLOOKUP(K84,Minimas!$A$11:$G$29,4),IF(AND(H84&gt;2002,H84&lt;2005),VLOOKUP(K84,Minimas!$A$11:$G$29,3),VLOOKUP(K84,Minimas!$A$11:$G$29,2))))),IF(OR(H84="SEN",H84&lt;1998),VLOOKUP(K84,Minimas!$G$11:$L$26,6),IF(AND(H84&gt;1997,H84&lt;2001),VLOOKUP(K84,Minimas!$G$11:$L$26,5),IF(AND(H84&gt;2000,H84&lt;2003),VLOOKUP(K84,Minimas!$G$11:$L$26,4),IF(AND(H84&gt;2002,H84&lt;2005),VLOOKUP(K84,Minimas!$G$11:$L$26,3),VLOOKUP(K84,Minimas!$G$11:$L$26,2)))))))</f>
        <v>J 77</v>
      </c>
      <c r="W84" s="62">
        <f t="shared" ref="W84" si="127">IF(E84=" "," ",IF(E84="H",10^(0.75194503*LOG(K84/175.508)^2)*T84,IF(E84="F",10^(0.783497476* LOG(K84/153.655)^2)*T84,"")))</f>
        <v>286.39984627526519</v>
      </c>
      <c r="X84" s="63"/>
      <c r="Y84" s="155" t="s">
        <v>441</v>
      </c>
      <c r="AB84" s="90">
        <f>T84-HLOOKUP(V84,Minimas!$C$1:$BN$10,2,FALSE)</f>
        <v>95</v>
      </c>
      <c r="AC84" s="90">
        <f>T84-HLOOKUP(V84,Minimas!$C$1:$BN$10,3,FALSE)</f>
        <v>75</v>
      </c>
      <c r="AD84" s="90">
        <f>T84-HLOOKUP(V84,Minimas!$C$1:$BN$10,4,FALSE)</f>
        <v>55</v>
      </c>
      <c r="AE84" s="90">
        <f>T84-HLOOKUP(V84,Minimas!$C$1:$BN$10,5,FALSE)</f>
        <v>35</v>
      </c>
      <c r="AF84" s="90">
        <f>T84-HLOOKUP(V84,Minimas!$C$1:$BN$10,6,FALSE)</f>
        <v>15</v>
      </c>
      <c r="AG84" s="90">
        <f>T84-HLOOKUP(V84,Minimas!$C$1:$BN$10,7,FALSE)</f>
        <v>-15</v>
      </c>
      <c r="AH84" s="90">
        <f>T84-HLOOKUP(V84,Minimas!$C$1:$BN$10,8,FALSE)</f>
        <v>-35</v>
      </c>
      <c r="AI84" s="90">
        <f>T84-HLOOKUP(V84,Minimas!$C$1:$BN$10,9,FALSE)</f>
        <v>-60</v>
      </c>
      <c r="AJ84" s="90">
        <f>T84-HLOOKUP(V84,Minimas!$C$1:$BN$10,10,FALSE)</f>
        <v>-9775</v>
      </c>
      <c r="AK84" s="91" t="str">
        <f>IF(E84=0," ",IF(AJ84&gt;=0,$AJ$5,IF(AI84&gt;=0,$AI$5,IF(AH84&gt;=0,$AH$5,IF(AG84&gt;=0,$AG$5,IF(AF84&gt;=0,$AF$5,IF(AE84&gt;=0,$AE$5,IF(AD84&gt;=0,$AD$5,IF(AC84&gt;=0,$AC$5,$AB$5)))))))))</f>
        <v>FED +</v>
      </c>
      <c r="AM84" s="5" t="str">
        <f t="shared" ref="AM84" si="128">IF(AK84="","",AK84)</f>
        <v>FED +</v>
      </c>
      <c r="AN84" s="5">
        <f t="shared" ref="AN84" si="129">IF(E84=0," ",IF(AJ84&gt;=0,AJ84,IF(AI84&gt;=0,AI84,IF(AH84&gt;=0,AH84,IF(AG84&gt;=0,AG84,IF(AF84&gt;=0,AF84,IF(AE84&gt;=0,AE84,IF(AD84&gt;=0,AD84,IF(AC84&gt;=0,AC84,AB84)))))))))</f>
        <v>15</v>
      </c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</row>
    <row r="85" spans="1:123" s="5" customFormat="1" ht="27.95" customHeight="1" x14ac:dyDescent="0.2">
      <c r="B85" s="148" t="s">
        <v>121</v>
      </c>
      <c r="C85" s="161">
        <v>295872</v>
      </c>
      <c r="D85" s="92">
        <v>3</v>
      </c>
      <c r="E85" s="84" t="s">
        <v>70</v>
      </c>
      <c r="F85" s="36" t="s">
        <v>258</v>
      </c>
      <c r="G85" s="37" t="s">
        <v>672</v>
      </c>
      <c r="H85" s="92">
        <v>1999</v>
      </c>
      <c r="I85" s="192" t="s">
        <v>561</v>
      </c>
      <c r="J85" s="35" t="s">
        <v>108</v>
      </c>
      <c r="K85" s="103">
        <v>76.599999999999994</v>
      </c>
      <c r="L85" s="38">
        <v>95</v>
      </c>
      <c r="M85" s="39">
        <v>100</v>
      </c>
      <c r="N85" s="39">
        <v>-105</v>
      </c>
      <c r="O85" s="54">
        <f t="shared" ref="O85" si="130">IF(E85="","",IF(MAXA(L85:N85)&lt;=0,0,MAXA(L85:N85)))</f>
        <v>100</v>
      </c>
      <c r="P85" s="53">
        <v>120</v>
      </c>
      <c r="Q85" s="53">
        <v>-124</v>
      </c>
      <c r="R85" s="53">
        <v>124</v>
      </c>
      <c r="S85" s="54">
        <f t="shared" ref="S85" si="131">IF(E85="","",IF(MAXA(P85:R85)&lt;=0,0,MAXA(P85:R85)))</f>
        <v>124</v>
      </c>
      <c r="T85" s="55">
        <f t="shared" ref="T85" si="132">IF(E85="","",IF(OR(O85=0,S85=0),0,O85+S85))</f>
        <v>224</v>
      </c>
      <c r="U85" s="56" t="str">
        <f t="shared" ref="U85" si="133">+CONCATENATE(AM85," ",AN85)</f>
        <v>FED + 14</v>
      </c>
      <c r="V85" s="86" t="str">
        <f>IF(E85=0," ",IF(E85="H",IF(OR(E85="SEN",H85&lt;1998),VLOOKUP(K85,Minimas!$A$11:$G$29,6),IF(AND(H85&gt;1997,H85&lt;2001),VLOOKUP(K85,Minimas!$A$11:$G$29,5),IF(AND(H85&gt;2000,H85&lt;2003),VLOOKUP(K85,Minimas!$A$11:$G$29,4),IF(AND(H85&gt;2002,H85&lt;2005),VLOOKUP(K85,Minimas!$A$11:$G$29,3),VLOOKUP(K85,Minimas!$A$11:$G$29,2))))),IF(OR(H85="SEN",H85&lt;1998),VLOOKUP(K85,Minimas!$G$11:$L$26,6),IF(AND(H85&gt;1997,H85&lt;2001),VLOOKUP(K85,Minimas!$G$11:$L$26,5),IF(AND(H85&gt;2000,H85&lt;2003),VLOOKUP(K85,Minimas!$G$11:$L$26,4),IF(AND(H85&gt;2002,H85&lt;2005),VLOOKUP(K85,Minimas!$G$11:$L$26,3),VLOOKUP(K85,Minimas!$G$11:$L$26,2)))))))</f>
        <v>J 77</v>
      </c>
      <c r="W85" s="62">
        <f t="shared" ref="W85" si="134">IF(E85=" "," ",IF(E85="H",10^(0.75194503*LOG(K85/175.508)^2)*T85,IF(E85="F",10^(0.783497476* LOG(K85/153.655)^2)*T85,"")))</f>
        <v>280.37351920231328</v>
      </c>
      <c r="X85" s="63"/>
      <c r="Y85" s="155" t="s">
        <v>441</v>
      </c>
      <c r="AB85" s="90">
        <f>T85-HLOOKUP(V85,Minimas!$C$1:$BN$10,2,FALSE)</f>
        <v>94</v>
      </c>
      <c r="AC85" s="90">
        <f>T85-HLOOKUP(V85,Minimas!$C$1:$BN$10,3,FALSE)</f>
        <v>74</v>
      </c>
      <c r="AD85" s="90">
        <f>T85-HLOOKUP(V85,Minimas!$C$1:$BN$10,4,FALSE)</f>
        <v>54</v>
      </c>
      <c r="AE85" s="90">
        <f>T85-HLOOKUP(V85,Minimas!$C$1:$BN$10,5,FALSE)</f>
        <v>34</v>
      </c>
      <c r="AF85" s="90">
        <f>T85-HLOOKUP(V85,Minimas!$C$1:$BN$10,6,FALSE)</f>
        <v>14</v>
      </c>
      <c r="AG85" s="90">
        <f>T85-HLOOKUP(V85,Minimas!$C$1:$BN$10,7,FALSE)</f>
        <v>-16</v>
      </c>
      <c r="AH85" s="90">
        <f>T85-HLOOKUP(V85,Minimas!$C$1:$BN$10,8,FALSE)</f>
        <v>-36</v>
      </c>
      <c r="AI85" s="90">
        <f>T85-HLOOKUP(V85,Minimas!$C$1:$BN$10,9,FALSE)</f>
        <v>-61</v>
      </c>
      <c r="AJ85" s="90">
        <f>T85-HLOOKUP(V85,Minimas!$C$1:$BN$10,10,FALSE)</f>
        <v>-9776</v>
      </c>
      <c r="AK85" s="91" t="str">
        <f>IF(E85=0," ",IF(AJ85&gt;=0,$AJ$5,IF(AI85&gt;=0,$AI$5,IF(AH85&gt;=0,$AH$5,IF(AG85&gt;=0,$AG$5,IF(AF85&gt;=0,$AF$5,IF(AE85&gt;=0,$AE$5,IF(AD85&gt;=0,$AD$5,IF(AC85&gt;=0,$AC$5,$AB$5)))))))))</f>
        <v>FED +</v>
      </c>
      <c r="AM85" s="5" t="str">
        <f t="shared" ref="AM85" si="135">IF(AK85="","",AK85)</f>
        <v>FED +</v>
      </c>
      <c r="AN85" s="5">
        <f t="shared" ref="AN85" si="136">IF(E85=0," ",IF(AJ85&gt;=0,AJ85,IF(AI85&gt;=0,AI85,IF(AH85&gt;=0,AH85,IF(AG85&gt;=0,AG85,IF(AF85&gt;=0,AF85,IF(AE85&gt;=0,AE85,IF(AD85&gt;=0,AD85,IF(AC85&gt;=0,AC85,AB85)))))))))</f>
        <v>14</v>
      </c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</row>
    <row r="86" spans="1:123" s="5" customFormat="1" ht="27.95" customHeight="1" thickBot="1" x14ac:dyDescent="0.25">
      <c r="B86" s="148" t="s">
        <v>120</v>
      </c>
      <c r="C86" s="161">
        <v>417823</v>
      </c>
      <c r="D86" s="92">
        <v>4</v>
      </c>
      <c r="E86" s="84" t="s">
        <v>70</v>
      </c>
      <c r="F86" s="36" t="s">
        <v>259</v>
      </c>
      <c r="G86" s="37" t="s">
        <v>260</v>
      </c>
      <c r="H86" s="92">
        <v>1999</v>
      </c>
      <c r="I86" s="192" t="s">
        <v>135</v>
      </c>
      <c r="J86" s="35" t="s">
        <v>108</v>
      </c>
      <c r="K86" s="103">
        <v>76.3</v>
      </c>
      <c r="L86" s="38">
        <v>90</v>
      </c>
      <c r="M86" s="39">
        <v>-93</v>
      </c>
      <c r="N86" s="39">
        <v>93</v>
      </c>
      <c r="O86" s="54">
        <f t="shared" si="80"/>
        <v>93</v>
      </c>
      <c r="P86" s="53">
        <v>112</v>
      </c>
      <c r="Q86" s="53">
        <v>117</v>
      </c>
      <c r="R86" s="53">
        <v>-120</v>
      </c>
      <c r="S86" s="54">
        <f t="shared" si="81"/>
        <v>117</v>
      </c>
      <c r="T86" s="55">
        <f t="shared" si="82"/>
        <v>210</v>
      </c>
      <c r="U86" s="56" t="str">
        <f t="shared" si="83"/>
        <v>FED + 0</v>
      </c>
      <c r="V86" s="86" t="str">
        <f>IF(E86=0," ",IF(E86="H",IF(OR(E86="SEN",H86&lt;1998),VLOOKUP(K86,Minimas!$A$11:$G$29,6),IF(AND(H86&gt;1997,H86&lt;2001),VLOOKUP(K86,Minimas!$A$11:$G$29,5),IF(AND(H86&gt;2000,H86&lt;2003),VLOOKUP(K86,Minimas!$A$11:$G$29,4),IF(AND(H86&gt;2002,H86&lt;2005),VLOOKUP(K86,Minimas!$A$11:$G$29,3),VLOOKUP(K86,Minimas!$A$11:$G$29,2))))),IF(OR(H86="SEN",H86&lt;1998),VLOOKUP(K86,Minimas!$G$11:$L$26,6),IF(AND(H86&gt;1997,H86&lt;2001),VLOOKUP(K86,Minimas!$G$11:$L$26,5),IF(AND(H86&gt;2000,H86&lt;2003),VLOOKUP(K86,Minimas!$G$11:$L$26,4),IF(AND(H86&gt;2002,H86&lt;2005),VLOOKUP(K86,Minimas!$G$11:$L$26,3),VLOOKUP(K86,Minimas!$G$11:$L$26,2)))))))</f>
        <v>J 77</v>
      </c>
      <c r="W86" s="62">
        <f t="shared" si="84"/>
        <v>263.41063156911343</v>
      </c>
      <c r="X86" s="63"/>
      <c r="Y86" s="157" t="s">
        <v>131</v>
      </c>
      <c r="AB86" s="90">
        <f>T86-HLOOKUP(V86,Minimas!$C$1:$BN$10,2,FALSE)</f>
        <v>80</v>
      </c>
      <c r="AC86" s="90">
        <f>T86-HLOOKUP(V86,Minimas!$C$1:$BN$10,3,FALSE)</f>
        <v>60</v>
      </c>
      <c r="AD86" s="90">
        <f>T86-HLOOKUP(V86,Minimas!$C$1:$BN$10,4,FALSE)</f>
        <v>40</v>
      </c>
      <c r="AE86" s="90">
        <f>T86-HLOOKUP(V86,Minimas!$C$1:$BN$10,5,FALSE)</f>
        <v>20</v>
      </c>
      <c r="AF86" s="90">
        <f>T86-HLOOKUP(V86,Minimas!$C$1:$BN$10,6,FALSE)</f>
        <v>0</v>
      </c>
      <c r="AG86" s="90">
        <f>T86-HLOOKUP(V86,Minimas!$C$1:$BN$10,7,FALSE)</f>
        <v>-30</v>
      </c>
      <c r="AH86" s="90">
        <f>T86-HLOOKUP(V86,Minimas!$C$1:$BN$10,8,FALSE)</f>
        <v>-50</v>
      </c>
      <c r="AI86" s="90">
        <f>T86-HLOOKUP(V86,Minimas!$C$1:$BN$10,9,FALSE)</f>
        <v>-75</v>
      </c>
      <c r="AJ86" s="90">
        <f>T86-HLOOKUP(V86,Minimas!$C$1:$BN$10,10,FALSE)</f>
        <v>-9790</v>
      </c>
      <c r="AK86" s="91" t="str">
        <f>IF(E86=0," ",IF(AJ86&gt;=0,$AJ$5,IF(AI86&gt;=0,$AI$5,IF(AH86&gt;=0,$AH$5,IF(AG86&gt;=0,$AG$5,IF(AF86&gt;=0,$AF$5,IF(AE86&gt;=0,$AE$5,IF(AD86&gt;=0,$AD$5,IF(AC86&gt;=0,$AC$5,$AB$5)))))))))</f>
        <v>FED +</v>
      </c>
      <c r="AM86" s="5" t="str">
        <f t="shared" si="85"/>
        <v>FED +</v>
      </c>
      <c r="AN86" s="5">
        <f t="shared" si="86"/>
        <v>0</v>
      </c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</row>
    <row r="87" spans="1:123" s="11" customFormat="1" ht="5.0999999999999996" customHeight="1" thickBot="1" x14ac:dyDescent="0.25">
      <c r="A87" s="8"/>
      <c r="B87" s="147"/>
      <c r="C87" s="160"/>
      <c r="D87" s="41"/>
      <c r="E87" s="41"/>
      <c r="F87" s="42"/>
      <c r="G87" s="43"/>
      <c r="H87" s="44"/>
      <c r="I87" s="193"/>
      <c r="J87" s="40"/>
      <c r="K87" s="101"/>
      <c r="L87" s="45"/>
      <c r="M87" s="45"/>
      <c r="N87" s="45"/>
      <c r="O87" s="46"/>
      <c r="P87" s="45"/>
      <c r="Q87" s="45"/>
      <c r="R87" s="45"/>
      <c r="S87" s="46"/>
      <c r="T87" s="46"/>
      <c r="U87" s="41"/>
      <c r="V87" s="48"/>
      <c r="W87" s="47"/>
      <c r="X87" s="7"/>
      <c r="Y87" s="154"/>
      <c r="Z87" s="7"/>
      <c r="AA87" s="7"/>
      <c r="AB87" s="89" t="s">
        <v>60</v>
      </c>
      <c r="AC87" s="89" t="s">
        <v>61</v>
      </c>
      <c r="AD87" s="89" t="s">
        <v>62</v>
      </c>
      <c r="AE87" s="89" t="s">
        <v>63</v>
      </c>
      <c r="AF87" s="89" t="s">
        <v>64</v>
      </c>
      <c r="AG87" s="89" t="s">
        <v>65</v>
      </c>
      <c r="AH87" s="89" t="s">
        <v>66</v>
      </c>
      <c r="AI87" s="89" t="s">
        <v>67</v>
      </c>
      <c r="AJ87" s="89" t="s">
        <v>68</v>
      </c>
      <c r="AK87" s="89"/>
      <c r="AL87" s="7"/>
      <c r="AM87" s="7"/>
      <c r="AN87" s="7"/>
      <c r="AO87" s="7"/>
      <c r="AP87" s="7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</row>
    <row r="88" spans="1:123" s="5" customFormat="1" ht="27.95" customHeight="1" x14ac:dyDescent="0.2">
      <c r="B88" s="148" t="s">
        <v>125</v>
      </c>
      <c r="C88" s="161">
        <v>416133</v>
      </c>
      <c r="D88" s="92">
        <v>1</v>
      </c>
      <c r="E88" s="84" t="s">
        <v>70</v>
      </c>
      <c r="F88" s="36" t="s">
        <v>508</v>
      </c>
      <c r="G88" s="37" t="s">
        <v>509</v>
      </c>
      <c r="H88" s="92">
        <v>1999</v>
      </c>
      <c r="I88" s="192" t="s">
        <v>555</v>
      </c>
      <c r="J88" s="35" t="s">
        <v>108</v>
      </c>
      <c r="K88" s="103">
        <v>82.8</v>
      </c>
      <c r="L88" s="38">
        <v>90</v>
      </c>
      <c r="M88" s="39">
        <v>95</v>
      </c>
      <c r="N88" s="39">
        <v>100</v>
      </c>
      <c r="O88" s="54">
        <f t="shared" ref="O88" si="137">IF(E88="","",IF(MAXA(L88:N88)&lt;=0,0,MAXA(L88:N88)))</f>
        <v>100</v>
      </c>
      <c r="P88" s="53">
        <v>125</v>
      </c>
      <c r="Q88" s="53">
        <v>135</v>
      </c>
      <c r="R88" s="53">
        <v>-140</v>
      </c>
      <c r="S88" s="54">
        <f t="shared" ref="S88" si="138">IF(E88="","",IF(MAXA(P88:R88)&lt;=0,0,MAXA(P88:R88)))</f>
        <v>135</v>
      </c>
      <c r="T88" s="55">
        <f t="shared" ref="T88" si="139">IF(E88="","",IF(OR(O88=0,S88=0),0,O88+S88))</f>
        <v>235</v>
      </c>
      <c r="U88" s="56" t="str">
        <f t="shared" ref="U88" si="140">+CONCATENATE(AM88," ",AN88)</f>
        <v>FED + 10</v>
      </c>
      <c r="V88" s="86" t="str">
        <f>IF(E88=0," ",IF(E88="H",IF(OR(E88="SEN",H88&lt;1998),VLOOKUP(K88,Minimas!$A$11:$G$29,6),IF(AND(H88&gt;1997,H88&lt;2001),VLOOKUP(K88,Minimas!$A$11:$G$29,5),IF(AND(H88&gt;2000,H88&lt;2003),VLOOKUP(K88,Minimas!$A$11:$G$29,4),IF(AND(H88&gt;2002,H88&lt;2005),VLOOKUP(K88,Minimas!$A$11:$G$29,3),VLOOKUP(K88,Minimas!$A$11:$G$29,2))))),IF(OR(H88="SEN",H88&lt;1998),VLOOKUP(K88,Minimas!$G$11:$L$26,6),IF(AND(H88&gt;1997,H88&lt;2001),VLOOKUP(K88,Minimas!$G$11:$L$26,5),IF(AND(H88&gt;2000,H88&lt;2003),VLOOKUP(K88,Minimas!$G$11:$L$26,4),IF(AND(H88&gt;2002,H88&lt;2005),VLOOKUP(K88,Minimas!$G$11:$L$26,3),VLOOKUP(K88,Minimas!$G$11:$L$26,2)))))))</f>
        <v>J 85</v>
      </c>
      <c r="W88" s="62">
        <f t="shared" ref="W88" si="141">IF(E88=" "," ",IF(E88="H",10^(0.75194503*LOG(K88/175.508)^2)*T88,IF(E88="F",10^(0.783497476* LOG(K88/153.655)^2)*T88,"")))</f>
        <v>282.56106684299215</v>
      </c>
      <c r="X88" s="63"/>
      <c r="Y88" s="155" t="s">
        <v>441</v>
      </c>
      <c r="AB88" s="90">
        <f>T88-HLOOKUP(V88,Minimas!$C$1:$BN$10,2,FALSE)</f>
        <v>90</v>
      </c>
      <c r="AC88" s="90">
        <f>T88-HLOOKUP(V88,Minimas!$C$1:$BN$10,3,FALSE)</f>
        <v>70</v>
      </c>
      <c r="AD88" s="90">
        <f>T88-HLOOKUP(V88,Minimas!$C$1:$BN$10,4,FALSE)</f>
        <v>50</v>
      </c>
      <c r="AE88" s="90">
        <f>T88-HLOOKUP(V88,Minimas!$C$1:$BN$10,5,FALSE)</f>
        <v>30</v>
      </c>
      <c r="AF88" s="90">
        <f>T88-HLOOKUP(V88,Minimas!$C$1:$BN$10,6,FALSE)</f>
        <v>10</v>
      </c>
      <c r="AG88" s="90">
        <f>T88-HLOOKUP(V88,Minimas!$C$1:$BN$10,7,FALSE)</f>
        <v>-15</v>
      </c>
      <c r="AH88" s="90">
        <f>T88-HLOOKUP(V88,Minimas!$C$1:$BN$10,8,FALSE)</f>
        <v>-45</v>
      </c>
      <c r="AI88" s="90">
        <f>T88-HLOOKUP(V88,Minimas!$C$1:$BN$10,9,FALSE)</f>
        <v>-65</v>
      </c>
      <c r="AJ88" s="90">
        <f>T88-HLOOKUP(V88,Minimas!$C$1:$BN$10,10,FALSE)</f>
        <v>-765</v>
      </c>
      <c r="AK88" s="91" t="str">
        <f>IF(E88=0," ",IF(AJ88&gt;=0,$AJ$5,IF(AI88&gt;=0,$AI$5,IF(AH88&gt;=0,$AH$5,IF(AG88&gt;=0,$AG$5,IF(AF88&gt;=0,$AF$5,IF(AE88&gt;=0,$AE$5,IF(AD88&gt;=0,$AD$5,IF(AC88&gt;=0,$AC$5,$AB$5)))))))))</f>
        <v>FED +</v>
      </c>
      <c r="AM88" s="5" t="str">
        <f t="shared" ref="AM88" si="142">IF(AK88="","",AK88)</f>
        <v>FED +</v>
      </c>
      <c r="AN88" s="5">
        <f t="shared" ref="AN88" si="143">IF(E88=0," ",IF(AJ88&gt;=0,AJ88,IF(AI88&gt;=0,AI88,IF(AH88&gt;=0,AH88,IF(AG88&gt;=0,AG88,IF(AF88&gt;=0,AF88,IF(AE88&gt;=0,AE88,IF(AD88&gt;=0,AD88,IF(AC88&gt;=0,AC88,AB88)))))))))</f>
        <v>10</v>
      </c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</row>
    <row r="89" spans="1:123" s="5" customFormat="1" ht="27.95" customHeight="1" x14ac:dyDescent="0.2">
      <c r="B89" s="148" t="s">
        <v>123</v>
      </c>
      <c r="C89" s="161">
        <v>399790</v>
      </c>
      <c r="D89" s="92">
        <v>2</v>
      </c>
      <c r="E89" s="84" t="s">
        <v>70</v>
      </c>
      <c r="F89" s="36" t="s">
        <v>419</v>
      </c>
      <c r="G89" s="37" t="s">
        <v>673</v>
      </c>
      <c r="H89" s="92">
        <v>1998</v>
      </c>
      <c r="I89" s="192" t="s">
        <v>136</v>
      </c>
      <c r="J89" s="35" t="s">
        <v>108</v>
      </c>
      <c r="K89" s="103">
        <v>82.7</v>
      </c>
      <c r="L89" s="38">
        <v>100</v>
      </c>
      <c r="M89" s="39">
        <v>104</v>
      </c>
      <c r="N89" s="39">
        <v>-107</v>
      </c>
      <c r="O89" s="54">
        <f t="shared" ref="O89:O90" si="144">IF(E89="","",IF(MAXA(L89:N89)&lt;=0,0,MAXA(L89:N89)))</f>
        <v>104</v>
      </c>
      <c r="P89" s="53">
        <v>-125</v>
      </c>
      <c r="Q89" s="53">
        <v>125</v>
      </c>
      <c r="R89" s="53">
        <v>130</v>
      </c>
      <c r="S89" s="54">
        <f t="shared" ref="S89:S90" si="145">IF(E89="","",IF(MAXA(P89:R89)&lt;=0,0,MAXA(P89:R89)))</f>
        <v>130</v>
      </c>
      <c r="T89" s="55">
        <f t="shared" ref="T89:T90" si="146">IF(E89="","",IF(OR(O89=0,S89=0),0,O89+S89))</f>
        <v>234</v>
      </c>
      <c r="U89" s="56" t="str">
        <f t="shared" ref="U89:U90" si="147">+CONCATENATE(AM89," ",AN89)</f>
        <v>FED + 9</v>
      </c>
      <c r="V89" s="86" t="str">
        <f>IF(E89=0," ",IF(E89="H",IF(OR(E89="SEN",H89&lt;1998),VLOOKUP(K89,Minimas!$A$11:$G$29,6),IF(AND(H89&gt;1997,H89&lt;2001),VLOOKUP(K89,Minimas!$A$11:$G$29,5),IF(AND(H89&gt;2000,H89&lt;2003),VLOOKUP(K89,Minimas!$A$11:$G$29,4),IF(AND(H89&gt;2002,H89&lt;2005),VLOOKUP(K89,Minimas!$A$11:$G$29,3),VLOOKUP(K89,Minimas!$A$11:$G$29,2))))),IF(OR(H89="SEN",H89&lt;1998),VLOOKUP(K89,Minimas!$G$11:$L$26,6),IF(AND(H89&gt;1997,H89&lt;2001),VLOOKUP(K89,Minimas!$G$11:$L$26,5),IF(AND(H89&gt;2000,H89&lt;2003),VLOOKUP(K89,Minimas!$G$11:$L$26,4),IF(AND(H89&gt;2002,H89&lt;2005),VLOOKUP(K89,Minimas!$G$11:$L$26,3),VLOOKUP(K89,Minimas!$G$11:$L$26,2)))))))</f>
        <v>J 85</v>
      </c>
      <c r="W89" s="62">
        <f t="shared" ref="W89:W90" si="148">IF(E89=" "," ",IF(E89="H",10^(0.75194503*LOG(K89/175.508)^2)*T89,IF(E89="F",10^(0.783497476* LOG(K89/153.655)^2)*T89,"")))</f>
        <v>281.52569570770618</v>
      </c>
      <c r="X89" s="63"/>
      <c r="Y89" s="155" t="s">
        <v>441</v>
      </c>
      <c r="AB89" s="90">
        <f>T89-HLOOKUP(V89,Minimas!$C$1:$BN$10,2,FALSE)</f>
        <v>89</v>
      </c>
      <c r="AC89" s="90">
        <f>T89-HLOOKUP(V89,Minimas!$C$1:$BN$10,3,FALSE)</f>
        <v>69</v>
      </c>
      <c r="AD89" s="90">
        <f>T89-HLOOKUP(V89,Minimas!$C$1:$BN$10,4,FALSE)</f>
        <v>49</v>
      </c>
      <c r="AE89" s="90">
        <f>T89-HLOOKUP(V89,Minimas!$C$1:$BN$10,5,FALSE)</f>
        <v>29</v>
      </c>
      <c r="AF89" s="90">
        <f>T89-HLOOKUP(V89,Minimas!$C$1:$BN$10,6,FALSE)</f>
        <v>9</v>
      </c>
      <c r="AG89" s="90">
        <f>T89-HLOOKUP(V89,Minimas!$C$1:$BN$10,7,FALSE)</f>
        <v>-16</v>
      </c>
      <c r="AH89" s="90">
        <f>T89-HLOOKUP(V89,Minimas!$C$1:$BN$10,8,FALSE)</f>
        <v>-46</v>
      </c>
      <c r="AI89" s="90">
        <f>T89-HLOOKUP(V89,Minimas!$C$1:$BN$10,9,FALSE)</f>
        <v>-66</v>
      </c>
      <c r="AJ89" s="90">
        <f>T89-HLOOKUP(V89,Minimas!$C$1:$BN$10,10,FALSE)</f>
        <v>-766</v>
      </c>
      <c r="AK89" s="91" t="str">
        <f>IF(E89=0," ",IF(AJ89&gt;=0,$AJ$5,IF(AI89&gt;=0,$AI$5,IF(AH89&gt;=0,$AH$5,IF(AG89&gt;=0,$AG$5,IF(AF89&gt;=0,$AF$5,IF(AE89&gt;=0,$AE$5,IF(AD89&gt;=0,$AD$5,IF(AC89&gt;=0,$AC$5,$AB$5)))))))))</f>
        <v>FED +</v>
      </c>
      <c r="AM89" s="5" t="str">
        <f t="shared" ref="AM89:AM90" si="149">IF(AK89="","",AK89)</f>
        <v>FED +</v>
      </c>
      <c r="AN89" s="5">
        <f t="shared" ref="AN89:AN90" si="150">IF(E89=0," ",IF(AJ89&gt;=0,AJ89,IF(AI89&gt;=0,AI89,IF(AH89&gt;=0,AH89,IF(AG89&gt;=0,AG89,IF(AF89&gt;=0,AF89,IF(AE89&gt;=0,AE89,IF(AD89&gt;=0,AD89,IF(AC89&gt;=0,AC89,AB89)))))))))</f>
        <v>9</v>
      </c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</row>
    <row r="90" spans="1:123" s="5" customFormat="1" ht="27.95" customHeight="1" x14ac:dyDescent="0.2">
      <c r="B90" s="148" t="s">
        <v>120</v>
      </c>
      <c r="C90" s="161">
        <v>272004</v>
      </c>
      <c r="D90" s="92">
        <v>3</v>
      </c>
      <c r="E90" s="84" t="s">
        <v>70</v>
      </c>
      <c r="F90" s="36" t="s">
        <v>261</v>
      </c>
      <c r="G90" s="37" t="s">
        <v>262</v>
      </c>
      <c r="H90" s="92">
        <v>2000</v>
      </c>
      <c r="I90" s="192" t="s">
        <v>151</v>
      </c>
      <c r="J90" s="35" t="s">
        <v>108</v>
      </c>
      <c r="K90" s="103">
        <v>85</v>
      </c>
      <c r="L90" s="38">
        <v>100</v>
      </c>
      <c r="M90" s="39">
        <v>103</v>
      </c>
      <c r="N90" s="39">
        <v>-105</v>
      </c>
      <c r="O90" s="54">
        <f t="shared" si="144"/>
        <v>103</v>
      </c>
      <c r="P90" s="53">
        <v>125</v>
      </c>
      <c r="Q90" s="53">
        <v>130</v>
      </c>
      <c r="R90" s="53">
        <v>-135</v>
      </c>
      <c r="S90" s="54">
        <f t="shared" si="145"/>
        <v>130</v>
      </c>
      <c r="T90" s="55">
        <f t="shared" si="146"/>
        <v>233</v>
      </c>
      <c r="U90" s="56" t="str">
        <f t="shared" si="147"/>
        <v>FED + 8</v>
      </c>
      <c r="V90" s="86" t="str">
        <f>IF(E90=0," ",IF(E90="H",IF(OR(E90="SEN",H90&lt;1998),VLOOKUP(K90,Minimas!$A$11:$G$29,6),IF(AND(H90&gt;1997,H90&lt;2001),VLOOKUP(K90,Minimas!$A$11:$G$29,5),IF(AND(H90&gt;2000,H90&lt;2003),VLOOKUP(K90,Minimas!$A$11:$G$29,4),IF(AND(H90&gt;2002,H90&lt;2005),VLOOKUP(K90,Minimas!$A$11:$G$29,3),VLOOKUP(K90,Minimas!$A$11:$G$29,2))))),IF(OR(H90="SEN",H90&lt;1998),VLOOKUP(K90,Minimas!$G$11:$L$26,6),IF(AND(H90&gt;1997,H90&lt;2001),VLOOKUP(K90,Minimas!$G$11:$L$26,5),IF(AND(H90&gt;2000,H90&lt;2003),VLOOKUP(K90,Minimas!$G$11:$L$26,4),IF(AND(H90&gt;2002,H90&lt;2005),VLOOKUP(K90,Minimas!$G$11:$L$26,3),VLOOKUP(K90,Minimas!$G$11:$L$26,2)))))))</f>
        <v>J 85</v>
      </c>
      <c r="W90" s="62">
        <f t="shared" si="148"/>
        <v>276.63675354193066</v>
      </c>
      <c r="X90" s="63"/>
      <c r="Y90" s="157" t="s">
        <v>131</v>
      </c>
      <c r="AB90" s="90">
        <f>T90-HLOOKUP(V90,Minimas!$C$1:$BN$10,2,FALSE)</f>
        <v>88</v>
      </c>
      <c r="AC90" s="90">
        <f>T90-HLOOKUP(V90,Minimas!$C$1:$BN$10,3,FALSE)</f>
        <v>68</v>
      </c>
      <c r="AD90" s="90">
        <f>T90-HLOOKUP(V90,Minimas!$C$1:$BN$10,4,FALSE)</f>
        <v>48</v>
      </c>
      <c r="AE90" s="90">
        <f>T90-HLOOKUP(V90,Minimas!$C$1:$BN$10,5,FALSE)</f>
        <v>28</v>
      </c>
      <c r="AF90" s="90">
        <f>T90-HLOOKUP(V90,Minimas!$C$1:$BN$10,6,FALSE)</f>
        <v>8</v>
      </c>
      <c r="AG90" s="90">
        <f>T90-HLOOKUP(V90,Minimas!$C$1:$BN$10,7,FALSE)</f>
        <v>-17</v>
      </c>
      <c r="AH90" s="90">
        <f>T90-HLOOKUP(V90,Minimas!$C$1:$BN$10,8,FALSE)</f>
        <v>-47</v>
      </c>
      <c r="AI90" s="90">
        <f>T90-HLOOKUP(V90,Minimas!$C$1:$BN$10,9,FALSE)</f>
        <v>-67</v>
      </c>
      <c r="AJ90" s="90">
        <f>T90-HLOOKUP(V90,Minimas!$C$1:$BN$10,10,FALSE)</f>
        <v>-767</v>
      </c>
      <c r="AK90" s="91" t="str">
        <f>IF(E90=0," ",IF(AJ90&gt;=0,$AJ$5,IF(AI90&gt;=0,$AI$5,IF(AH90&gt;=0,$AH$5,IF(AG90&gt;=0,$AG$5,IF(AF90&gt;=0,$AF$5,IF(AE90&gt;=0,$AE$5,IF(AD90&gt;=0,$AD$5,IF(AC90&gt;=0,$AC$5,$AB$5)))))))))</f>
        <v>FED +</v>
      </c>
      <c r="AM90" s="5" t="str">
        <f t="shared" si="149"/>
        <v>FED +</v>
      </c>
      <c r="AN90" s="5">
        <f t="shared" si="150"/>
        <v>8</v>
      </c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</row>
    <row r="91" spans="1:123" s="5" customFormat="1" ht="27.95" customHeight="1" x14ac:dyDescent="0.2">
      <c r="B91" s="148" t="s">
        <v>123</v>
      </c>
      <c r="C91" s="161">
        <v>378716</v>
      </c>
      <c r="D91" s="92">
        <v>4</v>
      </c>
      <c r="E91" s="84" t="s">
        <v>70</v>
      </c>
      <c r="F91" s="36" t="s">
        <v>263</v>
      </c>
      <c r="G91" s="37" t="s">
        <v>527</v>
      </c>
      <c r="H91" s="92">
        <v>1999</v>
      </c>
      <c r="I91" s="192" t="s">
        <v>264</v>
      </c>
      <c r="J91" s="35" t="s">
        <v>108</v>
      </c>
      <c r="K91" s="103">
        <v>82.9</v>
      </c>
      <c r="L91" s="38">
        <v>95</v>
      </c>
      <c r="M91" s="39">
        <v>100</v>
      </c>
      <c r="N91" s="39">
        <v>-105</v>
      </c>
      <c r="O91" s="54">
        <f t="shared" si="43"/>
        <v>100</v>
      </c>
      <c r="P91" s="53">
        <v>125</v>
      </c>
      <c r="Q91" s="53">
        <v>130</v>
      </c>
      <c r="R91" s="53">
        <v>-133</v>
      </c>
      <c r="S91" s="54">
        <f t="shared" si="44"/>
        <v>130</v>
      </c>
      <c r="T91" s="55">
        <f t="shared" si="45"/>
        <v>230</v>
      </c>
      <c r="U91" s="56" t="str">
        <f t="shared" si="46"/>
        <v>FED + 5</v>
      </c>
      <c r="V91" s="86" t="str">
        <f>IF(E91=0," ",IF(E91="H",IF(OR(E91="SEN",H91&lt;1998),VLOOKUP(K91,Minimas!$A$11:$G$29,6),IF(AND(H91&gt;1997,H91&lt;2001),VLOOKUP(K91,Minimas!$A$11:$G$29,5),IF(AND(H91&gt;2000,H91&lt;2003),VLOOKUP(K91,Minimas!$A$11:$G$29,4),IF(AND(H91&gt;2002,H91&lt;2005),VLOOKUP(K91,Minimas!$A$11:$G$29,3),VLOOKUP(K91,Minimas!$A$11:$G$29,2))))),IF(OR(H91="SEN",H91&lt;1998),VLOOKUP(K91,Minimas!$G$11:$L$26,6),IF(AND(H91&gt;1997,H91&lt;2001),VLOOKUP(K91,Minimas!$G$11:$L$26,5),IF(AND(H91&gt;2000,H91&lt;2003),VLOOKUP(K91,Minimas!$G$11:$L$26,4),IF(AND(H91&gt;2002,H91&lt;2005),VLOOKUP(K91,Minimas!$G$11:$L$26,3),VLOOKUP(K91,Minimas!$G$11:$L$26,2)))))))</f>
        <v>J 85</v>
      </c>
      <c r="W91" s="62">
        <f t="shared" si="47"/>
        <v>276.38552634817756</v>
      </c>
      <c r="X91" s="63"/>
      <c r="Y91" s="157" t="s">
        <v>131</v>
      </c>
      <c r="AB91" s="90">
        <f>T91-HLOOKUP(V91,Minimas!$C$1:$BN$10,2,FALSE)</f>
        <v>85</v>
      </c>
      <c r="AC91" s="90">
        <f>T91-HLOOKUP(V91,Minimas!$C$1:$BN$10,3,FALSE)</f>
        <v>65</v>
      </c>
      <c r="AD91" s="90">
        <f>T91-HLOOKUP(V91,Minimas!$C$1:$BN$10,4,FALSE)</f>
        <v>45</v>
      </c>
      <c r="AE91" s="90">
        <f>T91-HLOOKUP(V91,Minimas!$C$1:$BN$10,5,FALSE)</f>
        <v>25</v>
      </c>
      <c r="AF91" s="90">
        <f>T91-HLOOKUP(V91,Minimas!$C$1:$BN$10,6,FALSE)</f>
        <v>5</v>
      </c>
      <c r="AG91" s="90">
        <f>T91-HLOOKUP(V91,Minimas!$C$1:$BN$10,7,FALSE)</f>
        <v>-20</v>
      </c>
      <c r="AH91" s="90">
        <f>T91-HLOOKUP(V91,Minimas!$C$1:$BN$10,8,FALSE)</f>
        <v>-50</v>
      </c>
      <c r="AI91" s="90">
        <f>T91-HLOOKUP(V91,Minimas!$C$1:$BN$10,9,FALSE)</f>
        <v>-70</v>
      </c>
      <c r="AJ91" s="90">
        <f>T91-HLOOKUP(V91,Minimas!$C$1:$BN$10,10,FALSE)</f>
        <v>-770</v>
      </c>
      <c r="AK91" s="91" t="str">
        <f>IF(E91=0," ",IF(AJ91&gt;=0,$AJ$5,IF(AI91&gt;=0,$AI$5,IF(AH91&gt;=0,$AH$5,IF(AG91&gt;=0,$AG$5,IF(AF91&gt;=0,$AF$5,IF(AE91&gt;=0,$AE$5,IF(AD91&gt;=0,$AD$5,IF(AC91&gt;=0,$AC$5,$AB$5)))))))))</f>
        <v>FED +</v>
      </c>
      <c r="AM91" s="5" t="str">
        <f t="shared" si="48"/>
        <v>FED +</v>
      </c>
      <c r="AN91" s="5">
        <f t="shared" si="49"/>
        <v>5</v>
      </c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</row>
    <row r="92" spans="1:123" s="5" customFormat="1" ht="27.95" customHeight="1" thickBot="1" x14ac:dyDescent="0.25">
      <c r="B92" s="148" t="s">
        <v>124</v>
      </c>
      <c r="C92" s="161">
        <v>409537</v>
      </c>
      <c r="D92" s="92">
        <v>5</v>
      </c>
      <c r="E92" s="84" t="s">
        <v>70</v>
      </c>
      <c r="F92" s="36" t="s">
        <v>265</v>
      </c>
      <c r="G92" s="37" t="s">
        <v>401</v>
      </c>
      <c r="H92" s="92">
        <v>1999</v>
      </c>
      <c r="I92" s="192" t="s">
        <v>543</v>
      </c>
      <c r="J92" s="35" t="s">
        <v>108</v>
      </c>
      <c r="K92" s="103">
        <v>84.6</v>
      </c>
      <c r="L92" s="38">
        <v>100</v>
      </c>
      <c r="M92" s="39">
        <v>-105</v>
      </c>
      <c r="N92" s="39">
        <v>-105</v>
      </c>
      <c r="O92" s="54">
        <f t="shared" si="43"/>
        <v>100</v>
      </c>
      <c r="P92" s="53">
        <v>-125</v>
      </c>
      <c r="Q92" s="53">
        <v>125</v>
      </c>
      <c r="R92" s="53" t="s">
        <v>126</v>
      </c>
      <c r="S92" s="54">
        <f t="shared" si="44"/>
        <v>125</v>
      </c>
      <c r="T92" s="55">
        <f t="shared" si="45"/>
        <v>225</v>
      </c>
      <c r="U92" s="56" t="str">
        <f t="shared" si="46"/>
        <v>FED + 0</v>
      </c>
      <c r="V92" s="86" t="str">
        <f>IF(E92=0," ",IF(E92="H",IF(OR(E92="SEN",H92&lt;1998),VLOOKUP(K92,Minimas!$A$11:$G$29,6),IF(AND(H92&gt;1997,H92&lt;2001),VLOOKUP(K92,Minimas!$A$11:$G$29,5),IF(AND(H92&gt;2000,H92&lt;2003),VLOOKUP(K92,Minimas!$A$11:$G$29,4),IF(AND(H92&gt;2002,H92&lt;2005),VLOOKUP(K92,Minimas!$A$11:$G$29,3),VLOOKUP(K92,Minimas!$A$11:$G$29,2))))),IF(OR(H92="SEN",H92&lt;1998),VLOOKUP(K92,Minimas!$G$11:$L$26,6),IF(AND(H92&gt;1997,H92&lt;2001),VLOOKUP(K92,Minimas!$G$11:$L$26,5),IF(AND(H92&gt;2000,H92&lt;2003),VLOOKUP(K92,Minimas!$G$11:$L$26,4),IF(AND(H92&gt;2002,H92&lt;2005),VLOOKUP(K92,Minimas!$G$11:$L$26,3),VLOOKUP(K92,Minimas!$G$11:$L$26,2)))))))</f>
        <v>J 85</v>
      </c>
      <c r="W92" s="62">
        <f t="shared" si="47"/>
        <v>267.73781342305841</v>
      </c>
      <c r="X92" s="63"/>
      <c r="Y92" s="157" t="s">
        <v>131</v>
      </c>
      <c r="AB92" s="90">
        <f>T92-HLOOKUP(V92,Minimas!$C$1:$BN$10,2,FALSE)</f>
        <v>80</v>
      </c>
      <c r="AC92" s="90">
        <f>T92-HLOOKUP(V92,Minimas!$C$1:$BN$10,3,FALSE)</f>
        <v>60</v>
      </c>
      <c r="AD92" s="90">
        <f>T92-HLOOKUP(V92,Minimas!$C$1:$BN$10,4,FALSE)</f>
        <v>40</v>
      </c>
      <c r="AE92" s="90">
        <f>T92-HLOOKUP(V92,Minimas!$C$1:$BN$10,5,FALSE)</f>
        <v>20</v>
      </c>
      <c r="AF92" s="90">
        <f>T92-HLOOKUP(V92,Minimas!$C$1:$BN$10,6,FALSE)</f>
        <v>0</v>
      </c>
      <c r="AG92" s="90">
        <f>T92-HLOOKUP(V92,Minimas!$C$1:$BN$10,7,FALSE)</f>
        <v>-25</v>
      </c>
      <c r="AH92" s="90">
        <f>T92-HLOOKUP(V92,Minimas!$C$1:$BN$10,8,FALSE)</f>
        <v>-55</v>
      </c>
      <c r="AI92" s="90">
        <f>T92-HLOOKUP(V92,Minimas!$C$1:$BN$10,9,FALSE)</f>
        <v>-75</v>
      </c>
      <c r="AJ92" s="90">
        <f>T92-HLOOKUP(V92,Minimas!$C$1:$BN$10,10,FALSE)</f>
        <v>-775</v>
      </c>
      <c r="AK92" s="91" t="str">
        <f>IF(E92=0," ",IF(AJ92&gt;=0,$AJ$5,IF(AI92&gt;=0,$AI$5,IF(AH92&gt;=0,$AH$5,IF(AG92&gt;=0,$AG$5,IF(AF92&gt;=0,$AF$5,IF(AE92&gt;=0,$AE$5,IF(AD92&gt;=0,$AD$5,IF(AC92&gt;=0,$AC$5,$AB$5)))))))))</f>
        <v>FED +</v>
      </c>
      <c r="AM92" s="5" t="str">
        <f t="shared" si="48"/>
        <v>FED +</v>
      </c>
      <c r="AN92" s="5">
        <f t="shared" si="49"/>
        <v>0</v>
      </c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</row>
    <row r="93" spans="1:123" s="11" customFormat="1" ht="18" customHeight="1" x14ac:dyDescent="0.2">
      <c r="A93" s="8"/>
      <c r="B93" s="164"/>
      <c r="C93" s="165"/>
      <c r="D93" s="166"/>
      <c r="E93" s="166"/>
      <c r="F93" s="167"/>
      <c r="G93" s="168"/>
      <c r="H93" s="169"/>
      <c r="I93" s="170"/>
      <c r="J93" s="171"/>
      <c r="K93" s="172"/>
      <c r="L93" s="173"/>
      <c r="M93" s="173"/>
      <c r="N93" s="173"/>
      <c r="O93" s="174"/>
      <c r="P93" s="173"/>
      <c r="Q93" s="173"/>
      <c r="R93" s="173"/>
      <c r="S93" s="174"/>
      <c r="T93" s="174"/>
      <c r="U93" s="166"/>
      <c r="V93" s="175"/>
      <c r="W93" s="176"/>
      <c r="X93" s="7"/>
      <c r="Y93" s="177"/>
      <c r="Z93" s="7"/>
      <c r="AA93" s="7"/>
      <c r="AB93" s="89" t="s">
        <v>60</v>
      </c>
      <c r="AC93" s="89" t="s">
        <v>61</v>
      </c>
      <c r="AD93" s="89" t="s">
        <v>62</v>
      </c>
      <c r="AE93" s="89" t="s">
        <v>63</v>
      </c>
      <c r="AF93" s="89" t="s">
        <v>64</v>
      </c>
      <c r="AG93" s="89" t="s">
        <v>65</v>
      </c>
      <c r="AH93" s="89" t="s">
        <v>66</v>
      </c>
      <c r="AI93" s="89" t="s">
        <v>67</v>
      </c>
      <c r="AJ93" s="89" t="s">
        <v>68</v>
      </c>
      <c r="AK93" s="89"/>
      <c r="AL93" s="7"/>
      <c r="AM93" s="7"/>
      <c r="AN93" s="7"/>
      <c r="AO93" s="7"/>
      <c r="AP93" s="7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</row>
    <row r="94" spans="1:123" s="5" customFormat="1" ht="27.95" customHeight="1" x14ac:dyDescent="0.2">
      <c r="B94" s="229" t="s">
        <v>118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5" t="str">
        <f t="shared" ref="Z94" si="151">IF(P94=0," ",MAXA(P94+Q94,Q94+R94,P94+R94))</f>
        <v xml:space="preserve"> </v>
      </c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</row>
    <row r="95" spans="1:123" s="11" customFormat="1" ht="5.0999999999999996" customHeight="1" thickBot="1" x14ac:dyDescent="0.25">
      <c r="A95" s="8"/>
      <c r="B95" s="178"/>
      <c r="C95" s="179"/>
      <c r="D95" s="180"/>
      <c r="E95" s="180"/>
      <c r="F95" s="181"/>
      <c r="G95" s="182"/>
      <c r="H95" s="183"/>
      <c r="I95" s="184"/>
      <c r="J95" s="185"/>
      <c r="K95" s="186"/>
      <c r="L95" s="187"/>
      <c r="M95" s="187"/>
      <c r="N95" s="187"/>
      <c r="O95" s="188"/>
      <c r="P95" s="187"/>
      <c r="Q95" s="187"/>
      <c r="R95" s="187"/>
      <c r="S95" s="188"/>
      <c r="T95" s="188"/>
      <c r="U95" s="180"/>
      <c r="V95" s="189"/>
      <c r="W95" s="190"/>
      <c r="X95" s="7"/>
      <c r="Y95" s="191"/>
      <c r="Z95" s="7"/>
      <c r="AA95" s="7"/>
      <c r="AB95" s="89" t="s">
        <v>60</v>
      </c>
      <c r="AC95" s="89" t="s">
        <v>61</v>
      </c>
      <c r="AD95" s="89" t="s">
        <v>62</v>
      </c>
      <c r="AE95" s="89" t="s">
        <v>63</v>
      </c>
      <c r="AF95" s="89" t="s">
        <v>64</v>
      </c>
      <c r="AG95" s="89" t="s">
        <v>65</v>
      </c>
      <c r="AH95" s="89" t="s">
        <v>66</v>
      </c>
      <c r="AI95" s="89" t="s">
        <v>67</v>
      </c>
      <c r="AJ95" s="89" t="s">
        <v>68</v>
      </c>
      <c r="AK95" s="89"/>
      <c r="AL95" s="7"/>
      <c r="AM95" s="7"/>
      <c r="AN95" s="7"/>
      <c r="AO95" s="7"/>
      <c r="AP95" s="7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</row>
    <row r="96" spans="1:123" s="20" customFormat="1" ht="18" customHeight="1" thickBot="1" x14ac:dyDescent="0.25">
      <c r="A96" s="17"/>
      <c r="B96" s="146" t="s">
        <v>8</v>
      </c>
      <c r="C96" s="153" t="s">
        <v>9</v>
      </c>
      <c r="D96" s="142" t="s">
        <v>6</v>
      </c>
      <c r="E96" s="142" t="s">
        <v>69</v>
      </c>
      <c r="F96" s="210" t="s">
        <v>0</v>
      </c>
      <c r="G96" s="210"/>
      <c r="H96" s="142" t="s">
        <v>11</v>
      </c>
      <c r="I96" s="142" t="s">
        <v>10</v>
      </c>
      <c r="J96" s="64" t="s">
        <v>5</v>
      </c>
      <c r="K96" s="64" t="s">
        <v>1</v>
      </c>
      <c r="L96" s="22">
        <v>1</v>
      </c>
      <c r="M96" s="23">
        <v>2</v>
      </c>
      <c r="N96" s="23">
        <v>3</v>
      </c>
      <c r="O96" s="24" t="s">
        <v>12</v>
      </c>
      <c r="P96" s="22">
        <v>1</v>
      </c>
      <c r="Q96" s="23">
        <v>2</v>
      </c>
      <c r="R96" s="23">
        <v>3</v>
      </c>
      <c r="S96" s="24" t="s">
        <v>13</v>
      </c>
      <c r="T96" s="25" t="s">
        <v>2</v>
      </c>
      <c r="U96" s="64" t="s">
        <v>3</v>
      </c>
      <c r="V96" s="64" t="s">
        <v>7</v>
      </c>
      <c r="W96" s="21" t="s">
        <v>4</v>
      </c>
      <c r="X96" s="61"/>
      <c r="Y96" s="153" t="s">
        <v>313</v>
      </c>
      <c r="Z96" s="18"/>
      <c r="AA96" s="18"/>
      <c r="AB96" s="87" t="s">
        <v>107</v>
      </c>
      <c r="AC96" s="87" t="s">
        <v>106</v>
      </c>
      <c r="AD96" s="87" t="s">
        <v>62</v>
      </c>
      <c r="AE96" s="87" t="s">
        <v>63</v>
      </c>
      <c r="AF96" s="87" t="s">
        <v>64</v>
      </c>
      <c r="AG96" s="87" t="s">
        <v>65</v>
      </c>
      <c r="AH96" s="87" t="s">
        <v>66</v>
      </c>
      <c r="AI96" s="87" t="s">
        <v>67</v>
      </c>
      <c r="AJ96" s="87" t="s">
        <v>68</v>
      </c>
      <c r="AK96" s="88"/>
      <c r="AL96" s="19"/>
      <c r="AM96" s="19"/>
      <c r="AN96" s="19"/>
      <c r="AO96" s="19"/>
      <c r="AP96" s="19"/>
      <c r="AQ96" s="96"/>
      <c r="AR96" s="96"/>
      <c r="AS96" s="96"/>
      <c r="AT96" s="96"/>
      <c r="AU96" s="96"/>
      <c r="AV96" s="96"/>
      <c r="AW96" s="96"/>
      <c r="AX96" s="96"/>
      <c r="AY96" s="96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96"/>
      <c r="BL96" s="96"/>
      <c r="BM96" s="96"/>
      <c r="BN96" s="96"/>
      <c r="BO96" s="96"/>
      <c r="BP96" s="96"/>
      <c r="BQ96" s="96"/>
      <c r="BR96" s="96"/>
      <c r="BS96" s="96"/>
      <c r="BT96" s="96"/>
      <c r="BU96" s="96"/>
      <c r="BV96" s="96"/>
      <c r="BW96" s="96"/>
      <c r="BX96" s="96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</row>
    <row r="97" spans="1:123" s="11" customFormat="1" ht="5.0999999999999996" customHeight="1" thickBot="1" x14ac:dyDescent="0.25">
      <c r="A97" s="8"/>
      <c r="B97" s="147"/>
      <c r="C97" s="160"/>
      <c r="D97" s="41"/>
      <c r="E97" s="41"/>
      <c r="F97" s="42"/>
      <c r="G97" s="43"/>
      <c r="H97" s="44"/>
      <c r="I97" s="193"/>
      <c r="J97" s="40"/>
      <c r="K97" s="101"/>
      <c r="L97" s="45"/>
      <c r="M97" s="45"/>
      <c r="N97" s="45"/>
      <c r="O97" s="46"/>
      <c r="P97" s="45"/>
      <c r="Q97" s="45"/>
      <c r="R97" s="45"/>
      <c r="S97" s="46"/>
      <c r="T97" s="46"/>
      <c r="U97" s="41"/>
      <c r="V97" s="48"/>
      <c r="W97" s="47"/>
      <c r="X97" s="7"/>
      <c r="Y97" s="154"/>
      <c r="Z97" s="7"/>
      <c r="AA97" s="7"/>
      <c r="AB97" s="89" t="s">
        <v>60</v>
      </c>
      <c r="AC97" s="89" t="s">
        <v>61</v>
      </c>
      <c r="AD97" s="89" t="s">
        <v>62</v>
      </c>
      <c r="AE97" s="89" t="s">
        <v>63</v>
      </c>
      <c r="AF97" s="89" t="s">
        <v>64</v>
      </c>
      <c r="AG97" s="89" t="s">
        <v>65</v>
      </c>
      <c r="AH97" s="89" t="s">
        <v>66</v>
      </c>
      <c r="AI97" s="89" t="s">
        <v>67</v>
      </c>
      <c r="AJ97" s="89" t="s">
        <v>68</v>
      </c>
      <c r="AK97" s="89"/>
      <c r="AL97" s="7"/>
      <c r="AM97" s="7"/>
      <c r="AN97" s="7"/>
      <c r="AO97" s="7"/>
      <c r="AP97" s="7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</row>
    <row r="98" spans="1:123" s="5" customFormat="1" ht="27.95" customHeight="1" x14ac:dyDescent="0.2">
      <c r="B98" s="148" t="s">
        <v>125</v>
      </c>
      <c r="C98" s="161">
        <v>208774</v>
      </c>
      <c r="D98" s="92">
        <v>1</v>
      </c>
      <c r="E98" s="84" t="s">
        <v>70</v>
      </c>
      <c r="F98" s="36" t="s">
        <v>386</v>
      </c>
      <c r="G98" s="37" t="s">
        <v>402</v>
      </c>
      <c r="H98" s="92">
        <v>1979</v>
      </c>
      <c r="I98" s="192" t="s">
        <v>555</v>
      </c>
      <c r="J98" s="35" t="s">
        <v>108</v>
      </c>
      <c r="K98" s="103">
        <v>56</v>
      </c>
      <c r="L98" s="38">
        <v>75</v>
      </c>
      <c r="M98" s="39">
        <v>77</v>
      </c>
      <c r="N98" s="39">
        <v>79</v>
      </c>
      <c r="O98" s="54">
        <f t="shared" si="43"/>
        <v>79</v>
      </c>
      <c r="P98" s="53">
        <v>91</v>
      </c>
      <c r="Q98" s="53">
        <v>93</v>
      </c>
      <c r="R98" s="53">
        <v>-95</v>
      </c>
      <c r="S98" s="54">
        <f t="shared" si="44"/>
        <v>93</v>
      </c>
      <c r="T98" s="55">
        <f t="shared" si="45"/>
        <v>172</v>
      </c>
      <c r="U98" s="56" t="str">
        <f t="shared" si="46"/>
        <v>FED + 2</v>
      </c>
      <c r="V98" s="86" t="str">
        <f>IF(E98=0," ",IF(E98="H",IF(OR(E98="SEN",H98&lt;1998),VLOOKUP(K98,Minimas!$A$11:$G$29,6),IF(AND(H98&gt;1997,H98&lt;2001),VLOOKUP(K98,Minimas!$A$11:$G$29,5),IF(AND(H98&gt;2000,H98&lt;2003),VLOOKUP(K98,Minimas!$A$11:$G$29,4),IF(AND(H98&gt;2002,H98&lt;2005),VLOOKUP(K98,Minimas!$A$11:$G$29,3),VLOOKUP(K98,Minimas!$A$11:$G$29,2))))),IF(OR(H98="SEN",H98&lt;1998),VLOOKUP(K98,Minimas!$G$11:$L$26,6),IF(AND(H98&gt;1997,H98&lt;2001),VLOOKUP(K98,Minimas!$G$11:$L$26,5),IF(AND(H98&gt;2000,H98&lt;2003),VLOOKUP(K98,Minimas!$G$11:$L$26,4),IF(AND(H98&gt;2002,H98&lt;2005),VLOOKUP(K98,Minimas!$G$11:$L$26,3),VLOOKUP(K98,Minimas!$G$11:$L$26,2)))))))</f>
        <v>S 56</v>
      </c>
      <c r="W98" s="62">
        <f t="shared" si="47"/>
        <v>263.39054975723081</v>
      </c>
      <c r="X98" s="63"/>
      <c r="Y98" s="156" t="s">
        <v>319</v>
      </c>
      <c r="AB98" s="90">
        <f>T98-HLOOKUP(V98,Minimas!$C$1:$BN$10,2,FALSE)</f>
        <v>77</v>
      </c>
      <c r="AC98" s="90">
        <f>T98-HLOOKUP(V98,Minimas!$C$1:$BN$10,3,FALSE)</f>
        <v>57</v>
      </c>
      <c r="AD98" s="90">
        <f>T98-HLOOKUP(V98,Minimas!$C$1:$BN$10,4,FALSE)</f>
        <v>42</v>
      </c>
      <c r="AE98" s="90">
        <f>T98-HLOOKUP(V98,Minimas!$C$1:$BN$10,5,FALSE)</f>
        <v>27</v>
      </c>
      <c r="AF98" s="90">
        <f>T98-HLOOKUP(V98,Minimas!$C$1:$BN$10,6,FALSE)</f>
        <v>2</v>
      </c>
      <c r="AG98" s="90">
        <f>T98-HLOOKUP(V98,Minimas!$C$1:$BN$10,7,FALSE)</f>
        <v>-18</v>
      </c>
      <c r="AH98" s="90">
        <f>T98-HLOOKUP(V98,Minimas!$C$1:$BN$10,8,FALSE)</f>
        <v>-38</v>
      </c>
      <c r="AI98" s="90">
        <f>T98-HLOOKUP(V98,Minimas!$C$1:$BN$10,9,FALSE)</f>
        <v>-53</v>
      </c>
      <c r="AJ98" s="90">
        <f>T98-HLOOKUP(V98,Minimas!$C$1:$BN$10,10,FALSE)</f>
        <v>-68</v>
      </c>
      <c r="AK98" s="91" t="str">
        <f>IF(E98=0," ",IF(AJ98&gt;=0,$AJ$5,IF(AI98&gt;=0,$AI$5,IF(AH98&gt;=0,$AH$5,IF(AG98&gt;=0,$AG$5,IF(AF98&gt;=0,$AF$5,IF(AE98&gt;=0,$AE$5,IF(AD98&gt;=0,$AD$5,IF(AC98&gt;=0,$AC$5,$AB$5)))))))))</f>
        <v>FED +</v>
      </c>
      <c r="AM98" s="5" t="str">
        <f t="shared" si="48"/>
        <v>FED +</v>
      </c>
      <c r="AN98" s="5">
        <f t="shared" si="49"/>
        <v>2</v>
      </c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</row>
    <row r="99" spans="1:123" s="5" customFormat="1" ht="27.95" customHeight="1" thickBot="1" x14ac:dyDescent="0.25">
      <c r="B99" s="148" t="s">
        <v>122</v>
      </c>
      <c r="C99" s="161">
        <v>145799</v>
      </c>
      <c r="D99" s="92">
        <v>2</v>
      </c>
      <c r="E99" s="84" t="s">
        <v>70</v>
      </c>
      <c r="F99" s="36" t="s">
        <v>403</v>
      </c>
      <c r="G99" s="37" t="s">
        <v>674</v>
      </c>
      <c r="H99" s="92">
        <v>1990</v>
      </c>
      <c r="I99" s="192" t="s">
        <v>327</v>
      </c>
      <c r="J99" s="35" t="s">
        <v>108</v>
      </c>
      <c r="K99" s="103">
        <v>54.3</v>
      </c>
      <c r="L99" s="38">
        <v>74</v>
      </c>
      <c r="M99" s="39">
        <v>-76</v>
      </c>
      <c r="N99" s="39">
        <v>76</v>
      </c>
      <c r="O99" s="54">
        <f t="shared" ref="O99:O101" si="152">IF(E99="","",IF(MAXA(L99:N99)&lt;=0,0,MAXA(L99:N99)))</f>
        <v>76</v>
      </c>
      <c r="P99" s="53">
        <v>-94</v>
      </c>
      <c r="Q99" s="53">
        <v>94</v>
      </c>
      <c r="R99" s="53">
        <v>-100</v>
      </c>
      <c r="S99" s="54">
        <f t="shared" ref="S99:S101" si="153">IF(E99="","",IF(MAXA(P99:R99)&lt;=0,0,MAXA(P99:R99)))</f>
        <v>94</v>
      </c>
      <c r="T99" s="55">
        <f t="shared" ref="T99:T101" si="154">IF(E99="","",IF(OR(O99=0,S99=0),0,O99+S99))</f>
        <v>170</v>
      </c>
      <c r="U99" s="56" t="str">
        <f t="shared" ref="U99:U101" si="155">+CONCATENATE(AM99," ",AN99)</f>
        <v>FED + 0</v>
      </c>
      <c r="V99" s="86" t="str">
        <f>IF(E99=0," ",IF(E99="H",IF(OR(E99="SEN",H99&lt;1998),VLOOKUP(K99,Minimas!$A$11:$G$29,6),IF(AND(H99&gt;1997,H99&lt;2001),VLOOKUP(K99,Minimas!$A$11:$G$29,5),IF(AND(H99&gt;2000,H99&lt;2003),VLOOKUP(K99,Minimas!$A$11:$G$29,4),IF(AND(H99&gt;2002,H99&lt;2005),VLOOKUP(K99,Minimas!$A$11:$G$29,3),VLOOKUP(K99,Minimas!$A$11:$G$29,2))))),IF(OR(H99="SEN",H99&lt;1998),VLOOKUP(K99,Minimas!$G$11:$L$26,6),IF(AND(H99&gt;1997,H99&lt;2001),VLOOKUP(K99,Minimas!$G$11:$L$26,5),IF(AND(H99&gt;2000,H99&lt;2003),VLOOKUP(K99,Minimas!$G$11:$L$26,4),IF(AND(H99&gt;2002,H99&lt;2005),VLOOKUP(K99,Minimas!$G$11:$L$26,3),VLOOKUP(K99,Minimas!$G$11:$L$26,2)))))))</f>
        <v>S 56</v>
      </c>
      <c r="W99" s="62">
        <f t="shared" ref="W99:W101" si="156">IF(E99=" "," ",IF(E99="H",10^(0.75194503*LOG(K99/175.508)^2)*T99,IF(E99="F",10^(0.783497476* LOG(K99/153.655)^2)*T99,"")))</f>
        <v>266.46752502747381</v>
      </c>
      <c r="X99" s="63"/>
      <c r="Y99" s="156" t="s">
        <v>319</v>
      </c>
      <c r="AB99" s="90">
        <f>T99-HLOOKUP(V99,Minimas!$C$1:$BN$10,2,FALSE)</f>
        <v>75</v>
      </c>
      <c r="AC99" s="90">
        <f>T99-HLOOKUP(V99,Minimas!$C$1:$BN$10,3,FALSE)</f>
        <v>55</v>
      </c>
      <c r="AD99" s="90">
        <f>T99-HLOOKUP(V99,Minimas!$C$1:$BN$10,4,FALSE)</f>
        <v>40</v>
      </c>
      <c r="AE99" s="90">
        <f>T99-HLOOKUP(V99,Minimas!$C$1:$BN$10,5,FALSE)</f>
        <v>25</v>
      </c>
      <c r="AF99" s="90">
        <f>T99-HLOOKUP(V99,Minimas!$C$1:$BN$10,6,FALSE)</f>
        <v>0</v>
      </c>
      <c r="AG99" s="90">
        <f>T99-HLOOKUP(V99,Minimas!$C$1:$BN$10,7,FALSE)</f>
        <v>-20</v>
      </c>
      <c r="AH99" s="90">
        <f>T99-HLOOKUP(V99,Minimas!$C$1:$BN$10,8,FALSE)</f>
        <v>-40</v>
      </c>
      <c r="AI99" s="90">
        <f>T99-HLOOKUP(V99,Minimas!$C$1:$BN$10,9,FALSE)</f>
        <v>-55</v>
      </c>
      <c r="AJ99" s="90">
        <f>T99-HLOOKUP(V99,Minimas!$C$1:$BN$10,10,FALSE)</f>
        <v>-70</v>
      </c>
      <c r="AK99" s="91" t="str">
        <f>IF(E99=0," ",IF(AJ99&gt;=0,$AJ$5,IF(AI99&gt;=0,$AI$5,IF(AH99&gt;=0,$AH$5,IF(AG99&gt;=0,$AG$5,IF(AF99&gt;=0,$AF$5,IF(AE99&gt;=0,$AE$5,IF(AD99&gt;=0,$AD$5,IF(AC99&gt;=0,$AC$5,$AB$5)))))))))</f>
        <v>FED +</v>
      </c>
      <c r="AM99" s="5" t="str">
        <f t="shared" ref="AM99:AM101" si="157">IF(AK99="","",AK99)</f>
        <v>FED +</v>
      </c>
      <c r="AN99" s="5">
        <f t="shared" ref="AN99:AN101" si="158">IF(E99=0," ",IF(AJ99&gt;=0,AJ99,IF(AI99&gt;=0,AI99,IF(AH99&gt;=0,AH99,IF(AG99&gt;=0,AG99,IF(AF99&gt;=0,AF99,IF(AE99&gt;=0,AE99,IF(AD99&gt;=0,AD99,IF(AC99&gt;=0,AC99,AB99)))))))))</f>
        <v>0</v>
      </c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</row>
    <row r="100" spans="1:123" s="11" customFormat="1" ht="5.0999999999999996" customHeight="1" thickBot="1" x14ac:dyDescent="0.25">
      <c r="A100" s="8"/>
      <c r="B100" s="147"/>
      <c r="C100" s="160"/>
      <c r="D100" s="41"/>
      <c r="E100" s="41"/>
      <c r="F100" s="42"/>
      <c r="G100" s="43"/>
      <c r="H100" s="44"/>
      <c r="I100" s="193"/>
      <c r="J100" s="40"/>
      <c r="K100" s="101"/>
      <c r="L100" s="45"/>
      <c r="M100" s="45"/>
      <c r="N100" s="45"/>
      <c r="O100" s="46"/>
      <c r="P100" s="45"/>
      <c r="Q100" s="45"/>
      <c r="R100" s="45"/>
      <c r="S100" s="46"/>
      <c r="T100" s="46"/>
      <c r="U100" s="41"/>
      <c r="V100" s="48"/>
      <c r="W100" s="47"/>
      <c r="X100" s="7"/>
      <c r="Y100" s="154"/>
      <c r="Z100" s="7"/>
      <c r="AA100" s="7"/>
      <c r="AB100" s="89" t="s">
        <v>60</v>
      </c>
      <c r="AC100" s="89" t="s">
        <v>61</v>
      </c>
      <c r="AD100" s="89" t="s">
        <v>62</v>
      </c>
      <c r="AE100" s="89" t="s">
        <v>63</v>
      </c>
      <c r="AF100" s="89" t="s">
        <v>64</v>
      </c>
      <c r="AG100" s="89" t="s">
        <v>65</v>
      </c>
      <c r="AH100" s="89" t="s">
        <v>66</v>
      </c>
      <c r="AI100" s="89" t="s">
        <v>67</v>
      </c>
      <c r="AJ100" s="89" t="s">
        <v>68</v>
      </c>
      <c r="AK100" s="89"/>
      <c r="AL100" s="7"/>
      <c r="AM100" s="7"/>
      <c r="AN100" s="7"/>
      <c r="AO100" s="7"/>
      <c r="AP100" s="7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</row>
    <row r="101" spans="1:123" s="5" customFormat="1" ht="27.95" customHeight="1" x14ac:dyDescent="0.2">
      <c r="B101" s="148" t="s">
        <v>125</v>
      </c>
      <c r="C101" s="161">
        <v>139465</v>
      </c>
      <c r="D101" s="92">
        <v>1</v>
      </c>
      <c r="E101" s="84" t="s">
        <v>70</v>
      </c>
      <c r="F101" s="36" t="s">
        <v>405</v>
      </c>
      <c r="G101" s="37" t="s">
        <v>406</v>
      </c>
      <c r="H101" s="92">
        <v>1991</v>
      </c>
      <c r="I101" s="192" t="s">
        <v>555</v>
      </c>
      <c r="J101" s="35" t="s">
        <v>108</v>
      </c>
      <c r="K101" s="103">
        <v>62</v>
      </c>
      <c r="L101" s="38">
        <v>90</v>
      </c>
      <c r="M101" s="39">
        <v>94</v>
      </c>
      <c r="N101" s="39">
        <v>-96</v>
      </c>
      <c r="O101" s="54">
        <f t="shared" si="152"/>
        <v>94</v>
      </c>
      <c r="P101" s="53">
        <v>101</v>
      </c>
      <c r="Q101" s="53">
        <v>108</v>
      </c>
      <c r="R101" s="53">
        <v>-116</v>
      </c>
      <c r="S101" s="54">
        <f t="shared" si="153"/>
        <v>108</v>
      </c>
      <c r="T101" s="55">
        <f t="shared" si="154"/>
        <v>202</v>
      </c>
      <c r="U101" s="56" t="str">
        <f t="shared" si="155"/>
        <v>FED + 7</v>
      </c>
      <c r="V101" s="86" t="str">
        <f>IF(E101=0," ",IF(E101="H",IF(OR(E101="SEN",H101&lt;1998),VLOOKUP(K101,Minimas!$A$11:$G$29,6),IF(AND(H101&gt;1997,H101&lt;2001),VLOOKUP(K101,Minimas!$A$11:$G$29,5),IF(AND(H101&gt;2000,H101&lt;2003),VLOOKUP(K101,Minimas!$A$11:$G$29,4),IF(AND(H101&gt;2002,H101&lt;2005),VLOOKUP(K101,Minimas!$A$11:$G$29,3),VLOOKUP(K101,Minimas!$A$11:$G$29,2))))),IF(OR(H101="SEN",H101&lt;1998),VLOOKUP(K101,Minimas!$G$11:$L$26,6),IF(AND(H101&gt;1997,H101&lt;2001),VLOOKUP(K101,Minimas!$G$11:$L$26,5),IF(AND(H101&gt;2000,H101&lt;2003),VLOOKUP(K101,Minimas!$G$11:$L$26,4),IF(AND(H101&gt;2002,H101&lt;2005),VLOOKUP(K101,Minimas!$G$11:$L$26,3),VLOOKUP(K101,Minimas!$G$11:$L$26,2)))))))</f>
        <v>S 62</v>
      </c>
      <c r="W101" s="62">
        <f t="shared" si="156"/>
        <v>287.68176289311634</v>
      </c>
      <c r="X101" s="63"/>
      <c r="Y101" s="156" t="s">
        <v>319</v>
      </c>
      <c r="AB101" s="90">
        <f>T101-HLOOKUP(V101,Minimas!$C$1:$BN$10,2,FALSE)</f>
        <v>87</v>
      </c>
      <c r="AC101" s="90">
        <f>T101-HLOOKUP(V101,Minimas!$C$1:$BN$10,3,FALSE)</f>
        <v>67</v>
      </c>
      <c r="AD101" s="90">
        <f>T101-HLOOKUP(V101,Minimas!$C$1:$BN$10,4,FALSE)</f>
        <v>52</v>
      </c>
      <c r="AE101" s="90">
        <f>T101-HLOOKUP(V101,Minimas!$C$1:$BN$10,5,FALSE)</f>
        <v>32</v>
      </c>
      <c r="AF101" s="90">
        <f>T101-HLOOKUP(V101,Minimas!$C$1:$BN$10,6,FALSE)</f>
        <v>7</v>
      </c>
      <c r="AG101" s="90">
        <f>T101-HLOOKUP(V101,Minimas!$C$1:$BN$10,7,FALSE)</f>
        <v>-8</v>
      </c>
      <c r="AH101" s="90">
        <f>T101-HLOOKUP(V101,Minimas!$C$1:$BN$10,8,FALSE)</f>
        <v>-28</v>
      </c>
      <c r="AI101" s="90">
        <f>T101-HLOOKUP(V101,Minimas!$C$1:$BN$10,9,FALSE)</f>
        <v>-53</v>
      </c>
      <c r="AJ101" s="90">
        <f>T101-HLOOKUP(V101,Minimas!$C$1:$BN$10,10,FALSE)</f>
        <v>-68</v>
      </c>
      <c r="AK101" s="91" t="str">
        <f t="shared" ref="AK101:AK106" si="159">IF(E101=0," ",IF(AJ101&gt;=0,$AJ$5,IF(AI101&gt;=0,$AI$5,IF(AH101&gt;=0,$AH$5,IF(AG101&gt;=0,$AG$5,IF(AF101&gt;=0,$AF$5,IF(AE101&gt;=0,$AE$5,IF(AD101&gt;=0,$AD$5,IF(AC101&gt;=0,$AC$5,$AB$5)))))))))</f>
        <v>FED +</v>
      </c>
      <c r="AM101" s="5" t="str">
        <f t="shared" si="157"/>
        <v>FED +</v>
      </c>
      <c r="AN101" s="5">
        <f t="shared" si="158"/>
        <v>7</v>
      </c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</row>
    <row r="102" spans="1:123" s="5" customFormat="1" ht="27.95" customHeight="1" x14ac:dyDescent="0.2">
      <c r="B102" s="148" t="s">
        <v>122</v>
      </c>
      <c r="C102" s="161">
        <v>355299</v>
      </c>
      <c r="D102" s="92">
        <v>2</v>
      </c>
      <c r="E102" s="84" t="s">
        <v>70</v>
      </c>
      <c r="F102" s="36" t="s">
        <v>266</v>
      </c>
      <c r="G102" s="37" t="s">
        <v>675</v>
      </c>
      <c r="H102" s="92">
        <v>1995</v>
      </c>
      <c r="I102" s="192" t="s">
        <v>563</v>
      </c>
      <c r="J102" s="35" t="s">
        <v>108</v>
      </c>
      <c r="K102" s="103">
        <v>61.04</v>
      </c>
      <c r="L102" s="38">
        <v>-86</v>
      </c>
      <c r="M102" s="39">
        <v>87</v>
      </c>
      <c r="N102" s="39">
        <v>90</v>
      </c>
      <c r="O102" s="54">
        <f t="shared" si="43"/>
        <v>90</v>
      </c>
      <c r="P102" s="53">
        <v>-105</v>
      </c>
      <c r="Q102" s="53">
        <v>105</v>
      </c>
      <c r="R102" s="53" t="s">
        <v>140</v>
      </c>
      <c r="S102" s="54">
        <f t="shared" si="44"/>
        <v>105</v>
      </c>
      <c r="T102" s="55">
        <f t="shared" si="45"/>
        <v>195</v>
      </c>
      <c r="U102" s="56" t="str">
        <f t="shared" si="46"/>
        <v>FED + 0</v>
      </c>
      <c r="V102" s="86" t="str">
        <f>IF(E102=0," ",IF(E102="H",IF(OR(E102="SEN",H102&lt;1998),VLOOKUP(K102,Minimas!$A$11:$G$29,6),IF(AND(H102&gt;1997,H102&lt;2001),VLOOKUP(K102,Minimas!$A$11:$G$29,5),IF(AND(H102&gt;2000,H102&lt;2003),VLOOKUP(K102,Minimas!$A$11:$G$29,4),IF(AND(H102&gt;2002,H102&lt;2005),VLOOKUP(K102,Minimas!$A$11:$G$29,3),VLOOKUP(K102,Minimas!$A$11:$G$29,2))))),IF(OR(H102="SEN",H102&lt;1998),VLOOKUP(K102,Minimas!$G$11:$L$26,6),IF(AND(H102&gt;1997,H102&lt;2001),VLOOKUP(K102,Minimas!$G$11:$L$26,5),IF(AND(H102&gt;2000,H102&lt;2003),VLOOKUP(K102,Minimas!$G$11:$L$26,4),IF(AND(H102&gt;2002,H102&lt;2005),VLOOKUP(K102,Minimas!$G$11:$L$26,3),VLOOKUP(K102,Minimas!$G$11:$L$26,2)))))))</f>
        <v>S 62</v>
      </c>
      <c r="W102" s="62">
        <f t="shared" si="47"/>
        <v>280.69584114928779</v>
      </c>
      <c r="X102" s="63"/>
      <c r="Y102" s="157" t="s">
        <v>131</v>
      </c>
      <c r="AB102" s="90">
        <f>T102-HLOOKUP(V102,Minimas!$C$1:$BN$10,2,FALSE)</f>
        <v>80</v>
      </c>
      <c r="AC102" s="90">
        <f>T102-HLOOKUP(V102,Minimas!$C$1:$BN$10,3,FALSE)</f>
        <v>60</v>
      </c>
      <c r="AD102" s="90">
        <f>T102-HLOOKUP(V102,Minimas!$C$1:$BN$10,4,FALSE)</f>
        <v>45</v>
      </c>
      <c r="AE102" s="90">
        <f>T102-HLOOKUP(V102,Minimas!$C$1:$BN$10,5,FALSE)</f>
        <v>25</v>
      </c>
      <c r="AF102" s="90">
        <f>T102-HLOOKUP(V102,Minimas!$C$1:$BN$10,6,FALSE)</f>
        <v>0</v>
      </c>
      <c r="AG102" s="90">
        <f>T102-HLOOKUP(V102,Minimas!$C$1:$BN$10,7,FALSE)</f>
        <v>-15</v>
      </c>
      <c r="AH102" s="90">
        <f>T102-HLOOKUP(V102,Minimas!$C$1:$BN$10,8,FALSE)</f>
        <v>-35</v>
      </c>
      <c r="AI102" s="90">
        <f>T102-HLOOKUP(V102,Minimas!$C$1:$BN$10,9,FALSE)</f>
        <v>-60</v>
      </c>
      <c r="AJ102" s="90">
        <f>T102-HLOOKUP(V102,Minimas!$C$1:$BN$10,10,FALSE)</f>
        <v>-75</v>
      </c>
      <c r="AK102" s="91" t="str">
        <f t="shared" si="159"/>
        <v>FED +</v>
      </c>
      <c r="AM102" s="5" t="str">
        <f t="shared" si="48"/>
        <v>FED +</v>
      </c>
      <c r="AN102" s="5">
        <f t="shared" si="49"/>
        <v>0</v>
      </c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</row>
    <row r="103" spans="1:123" s="5" customFormat="1" ht="27.95" customHeight="1" x14ac:dyDescent="0.2">
      <c r="B103" s="148" t="s">
        <v>314</v>
      </c>
      <c r="C103" s="161">
        <v>402279</v>
      </c>
      <c r="D103" s="92">
        <v>3</v>
      </c>
      <c r="E103" s="84" t="s">
        <v>70</v>
      </c>
      <c r="F103" s="36" t="s">
        <v>407</v>
      </c>
      <c r="G103" s="37" t="s">
        <v>676</v>
      </c>
      <c r="H103" s="92">
        <v>1994</v>
      </c>
      <c r="I103" s="192" t="s">
        <v>564</v>
      </c>
      <c r="J103" s="35" t="s">
        <v>108</v>
      </c>
      <c r="K103" s="103">
        <v>61.9</v>
      </c>
      <c r="L103" s="38">
        <v>-90</v>
      </c>
      <c r="M103" s="39">
        <v>90</v>
      </c>
      <c r="N103" s="39">
        <v>-95</v>
      </c>
      <c r="O103" s="54">
        <f t="shared" si="43"/>
        <v>90</v>
      </c>
      <c r="P103" s="53">
        <v>-105</v>
      </c>
      <c r="Q103" s="53">
        <v>105</v>
      </c>
      <c r="R103" s="53" t="s">
        <v>404</v>
      </c>
      <c r="S103" s="54">
        <f t="shared" si="44"/>
        <v>105</v>
      </c>
      <c r="T103" s="55">
        <f t="shared" si="45"/>
        <v>195</v>
      </c>
      <c r="U103" s="56" t="str">
        <f t="shared" si="46"/>
        <v>FED + 0</v>
      </c>
      <c r="V103" s="86" t="str">
        <f>IF(E103=0," ",IF(E103="H",IF(OR(E103="SEN",H103&lt;1998),VLOOKUP(K103,Minimas!$A$11:$G$29,6),IF(AND(H103&gt;1997,H103&lt;2001),VLOOKUP(K103,Minimas!$A$11:$G$29,5),IF(AND(H103&gt;2000,H103&lt;2003),VLOOKUP(K103,Minimas!$A$11:$G$29,4),IF(AND(H103&gt;2002,H103&lt;2005),VLOOKUP(K103,Minimas!$A$11:$G$29,3),VLOOKUP(K103,Minimas!$A$11:$G$29,2))))),IF(OR(H103="SEN",H103&lt;1998),VLOOKUP(K103,Minimas!$G$11:$L$26,6),IF(AND(H103&gt;1997,H103&lt;2001),VLOOKUP(K103,Minimas!$G$11:$L$26,5),IF(AND(H103&gt;2000,H103&lt;2003),VLOOKUP(K103,Minimas!$G$11:$L$26,4),IF(AND(H103&gt;2002,H103&lt;2005),VLOOKUP(K103,Minimas!$G$11:$L$26,3),VLOOKUP(K103,Minimas!$G$11:$L$26,2)))))))</f>
        <v>S 62</v>
      </c>
      <c r="W103" s="62">
        <f t="shared" si="47"/>
        <v>278.01765830114971</v>
      </c>
      <c r="X103" s="63"/>
      <c r="Y103" s="156" t="s">
        <v>319</v>
      </c>
      <c r="AB103" s="90">
        <f>T103-HLOOKUP(V103,Minimas!$C$1:$BN$10,2,FALSE)</f>
        <v>80</v>
      </c>
      <c r="AC103" s="90">
        <f>T103-HLOOKUP(V103,Minimas!$C$1:$BN$10,3,FALSE)</f>
        <v>60</v>
      </c>
      <c r="AD103" s="90">
        <f>T103-HLOOKUP(V103,Minimas!$C$1:$BN$10,4,FALSE)</f>
        <v>45</v>
      </c>
      <c r="AE103" s="90">
        <f>T103-HLOOKUP(V103,Minimas!$C$1:$BN$10,5,FALSE)</f>
        <v>25</v>
      </c>
      <c r="AF103" s="90">
        <f>T103-HLOOKUP(V103,Minimas!$C$1:$BN$10,6,FALSE)</f>
        <v>0</v>
      </c>
      <c r="AG103" s="90">
        <f>T103-HLOOKUP(V103,Minimas!$C$1:$BN$10,7,FALSE)</f>
        <v>-15</v>
      </c>
      <c r="AH103" s="90">
        <f>T103-HLOOKUP(V103,Minimas!$C$1:$BN$10,8,FALSE)</f>
        <v>-35</v>
      </c>
      <c r="AI103" s="90">
        <f>T103-HLOOKUP(V103,Minimas!$C$1:$BN$10,9,FALSE)</f>
        <v>-60</v>
      </c>
      <c r="AJ103" s="90">
        <f>T103-HLOOKUP(V103,Minimas!$C$1:$BN$10,10,FALSE)</f>
        <v>-75</v>
      </c>
      <c r="AK103" s="91" t="str">
        <f t="shared" si="159"/>
        <v>FED +</v>
      </c>
      <c r="AM103" s="5" t="str">
        <f t="shared" si="48"/>
        <v>FED +</v>
      </c>
      <c r="AN103" s="5">
        <f t="shared" si="49"/>
        <v>0</v>
      </c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  <c r="BW103" s="97"/>
      <c r="BX103" s="97"/>
    </row>
    <row r="104" spans="1:123" s="5" customFormat="1" ht="27.95" customHeight="1" x14ac:dyDescent="0.2">
      <c r="B104" s="148" t="s">
        <v>123</v>
      </c>
      <c r="C104" s="161">
        <v>407595</v>
      </c>
      <c r="D104" s="92">
        <v>4</v>
      </c>
      <c r="E104" s="84" t="s">
        <v>70</v>
      </c>
      <c r="F104" s="36" t="s">
        <v>510</v>
      </c>
      <c r="G104" s="37" t="s">
        <v>302</v>
      </c>
      <c r="H104" s="92">
        <v>1990</v>
      </c>
      <c r="I104" s="192" t="s">
        <v>119</v>
      </c>
      <c r="J104" s="35" t="s">
        <v>108</v>
      </c>
      <c r="K104" s="103">
        <v>60.15</v>
      </c>
      <c r="L104" s="38">
        <v>82</v>
      </c>
      <c r="M104" s="39">
        <v>85</v>
      </c>
      <c r="N104" s="39">
        <v>-88</v>
      </c>
      <c r="O104" s="54">
        <f t="shared" si="43"/>
        <v>85</v>
      </c>
      <c r="P104" s="53">
        <v>102</v>
      </c>
      <c r="Q104" s="53">
        <v>106</v>
      </c>
      <c r="R104" s="53">
        <v>110</v>
      </c>
      <c r="S104" s="54">
        <f t="shared" si="44"/>
        <v>110</v>
      </c>
      <c r="T104" s="55">
        <f t="shared" si="45"/>
        <v>195</v>
      </c>
      <c r="U104" s="56" t="str">
        <f t="shared" si="46"/>
        <v>FED + 0</v>
      </c>
      <c r="V104" s="86" t="str">
        <f>IF(E104=0," ",IF(E104="H",IF(OR(E104="SEN",H104&lt;1998),VLOOKUP(K104,Minimas!$A$11:$G$29,6),IF(AND(H104&gt;1997,H104&lt;2001),VLOOKUP(K104,Minimas!$A$11:$G$29,5),IF(AND(H104&gt;2000,H104&lt;2003),VLOOKUP(K104,Minimas!$A$11:$G$29,4),IF(AND(H104&gt;2002,H104&lt;2005),VLOOKUP(K104,Minimas!$A$11:$G$29,3),VLOOKUP(K104,Minimas!$A$11:$G$29,2))))),IF(OR(H104="SEN",H104&lt;1998),VLOOKUP(K104,Minimas!$G$11:$L$26,6),IF(AND(H104&gt;1997,H104&lt;2001),VLOOKUP(K104,Minimas!$G$11:$L$26,5),IF(AND(H104&gt;2000,H104&lt;2003),VLOOKUP(K104,Minimas!$G$11:$L$26,4),IF(AND(H104&gt;2002,H104&lt;2005),VLOOKUP(K104,Minimas!$G$11:$L$26,3),VLOOKUP(K104,Minimas!$G$11:$L$26,2)))))))</f>
        <v>S 62</v>
      </c>
      <c r="W104" s="62">
        <f t="shared" si="47"/>
        <v>283.57424589637094</v>
      </c>
      <c r="X104" s="63"/>
      <c r="Y104" s="155" t="s">
        <v>441</v>
      </c>
      <c r="AB104" s="90">
        <f>T104-HLOOKUP(V104,Minimas!$C$1:$BN$10,2,FALSE)</f>
        <v>80</v>
      </c>
      <c r="AC104" s="90">
        <f>T104-HLOOKUP(V104,Minimas!$C$1:$BN$10,3,FALSE)</f>
        <v>60</v>
      </c>
      <c r="AD104" s="90">
        <f>T104-HLOOKUP(V104,Minimas!$C$1:$BN$10,4,FALSE)</f>
        <v>45</v>
      </c>
      <c r="AE104" s="90">
        <f>T104-HLOOKUP(V104,Minimas!$C$1:$BN$10,5,FALSE)</f>
        <v>25</v>
      </c>
      <c r="AF104" s="90">
        <f>T104-HLOOKUP(V104,Minimas!$C$1:$BN$10,6,FALSE)</f>
        <v>0</v>
      </c>
      <c r="AG104" s="90">
        <f>T104-HLOOKUP(V104,Minimas!$C$1:$BN$10,7,FALSE)</f>
        <v>-15</v>
      </c>
      <c r="AH104" s="90">
        <f>T104-HLOOKUP(V104,Minimas!$C$1:$BN$10,8,FALSE)</f>
        <v>-35</v>
      </c>
      <c r="AI104" s="90">
        <f>T104-HLOOKUP(V104,Minimas!$C$1:$BN$10,9,FALSE)</f>
        <v>-60</v>
      </c>
      <c r="AJ104" s="90">
        <f>T104-HLOOKUP(V104,Minimas!$C$1:$BN$10,10,FALSE)</f>
        <v>-75</v>
      </c>
      <c r="AK104" s="91" t="str">
        <f t="shared" si="159"/>
        <v>FED +</v>
      </c>
      <c r="AM104" s="5" t="str">
        <f t="shared" si="48"/>
        <v>FED +</v>
      </c>
      <c r="AN104" s="5">
        <f t="shared" si="49"/>
        <v>0</v>
      </c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</row>
    <row r="105" spans="1:123" s="5" customFormat="1" ht="27.95" customHeight="1" x14ac:dyDescent="0.2">
      <c r="B105" s="148" t="s">
        <v>124</v>
      </c>
      <c r="C105" s="161">
        <v>304880</v>
      </c>
      <c r="D105" s="92">
        <v>5</v>
      </c>
      <c r="E105" s="84" t="s">
        <v>70</v>
      </c>
      <c r="F105" s="36" t="s">
        <v>511</v>
      </c>
      <c r="G105" s="37" t="s">
        <v>302</v>
      </c>
      <c r="H105" s="92">
        <v>1979</v>
      </c>
      <c r="I105" s="192" t="s">
        <v>552</v>
      </c>
      <c r="J105" s="35" t="s">
        <v>108</v>
      </c>
      <c r="K105" s="103">
        <v>60.5</v>
      </c>
      <c r="L105" s="38">
        <v>87</v>
      </c>
      <c r="M105" s="39">
        <v>-90</v>
      </c>
      <c r="N105" s="39">
        <v>-90</v>
      </c>
      <c r="O105" s="54">
        <f t="shared" ref="O105" si="160">IF(E105="","",IF(MAXA(L105:N105)&lt;=0,0,MAXA(L105:N105)))</f>
        <v>87</v>
      </c>
      <c r="P105" s="53">
        <v>108</v>
      </c>
      <c r="Q105" s="53">
        <v>-110</v>
      </c>
      <c r="R105" s="53">
        <v>-113</v>
      </c>
      <c r="S105" s="54">
        <f t="shared" ref="S105" si="161">IF(E105="","",IF(MAXA(P105:R105)&lt;=0,0,MAXA(P105:R105)))</f>
        <v>108</v>
      </c>
      <c r="T105" s="55">
        <f t="shared" ref="T105" si="162">IF(E105="","",IF(OR(O105=0,S105=0),0,O105+S105))</f>
        <v>195</v>
      </c>
      <c r="U105" s="56" t="str">
        <f t="shared" ref="U105" si="163">+CONCATENATE(AM105," ",AN105)</f>
        <v>FED + 0</v>
      </c>
      <c r="V105" s="86" t="str">
        <f>IF(E105=0," ",IF(E105="H",IF(OR(E105="SEN",H105&lt;1998),VLOOKUP(K105,Minimas!$A$11:$G$29,6),IF(AND(H105&gt;1997,H105&lt;2001),VLOOKUP(K105,Minimas!$A$11:$G$29,5),IF(AND(H105&gt;2000,H105&lt;2003),VLOOKUP(K105,Minimas!$A$11:$G$29,4),IF(AND(H105&gt;2002,H105&lt;2005),VLOOKUP(K105,Minimas!$A$11:$G$29,3),VLOOKUP(K105,Minimas!$A$11:$G$29,2))))),IF(OR(H105="SEN",H105&lt;1998),VLOOKUP(K105,Minimas!$G$11:$L$26,6),IF(AND(H105&gt;1997,H105&lt;2001),VLOOKUP(K105,Minimas!$G$11:$L$26,5),IF(AND(H105&gt;2000,H105&lt;2003),VLOOKUP(K105,Minimas!$G$11:$L$26,4),IF(AND(H105&gt;2002,H105&lt;2005),VLOOKUP(K105,Minimas!$G$11:$L$26,3),VLOOKUP(K105,Minimas!$G$11:$L$26,2)))))))</f>
        <v>S 62</v>
      </c>
      <c r="W105" s="62">
        <f t="shared" ref="W105" si="164">IF(E105=" "," ",IF(E105="H",10^(0.75194503*LOG(K105/175.508)^2)*T105,IF(E105="F",10^(0.783497476* LOG(K105/153.655)^2)*T105,"")))</f>
        <v>282.4289745289571</v>
      </c>
      <c r="X105" s="63"/>
      <c r="Y105" s="155" t="s">
        <v>441</v>
      </c>
      <c r="AB105" s="90">
        <f>T105-HLOOKUP(V105,Minimas!$C$1:$BN$10,2,FALSE)</f>
        <v>80</v>
      </c>
      <c r="AC105" s="90">
        <f>T105-HLOOKUP(V105,Minimas!$C$1:$BN$10,3,FALSE)</f>
        <v>60</v>
      </c>
      <c r="AD105" s="90">
        <f>T105-HLOOKUP(V105,Minimas!$C$1:$BN$10,4,FALSE)</f>
        <v>45</v>
      </c>
      <c r="AE105" s="90">
        <f>T105-HLOOKUP(V105,Minimas!$C$1:$BN$10,5,FALSE)</f>
        <v>25</v>
      </c>
      <c r="AF105" s="90">
        <f>T105-HLOOKUP(V105,Minimas!$C$1:$BN$10,6,FALSE)</f>
        <v>0</v>
      </c>
      <c r="AG105" s="90">
        <f>T105-HLOOKUP(V105,Minimas!$C$1:$BN$10,7,FALSE)</f>
        <v>-15</v>
      </c>
      <c r="AH105" s="90">
        <f>T105-HLOOKUP(V105,Minimas!$C$1:$BN$10,8,FALSE)</f>
        <v>-35</v>
      </c>
      <c r="AI105" s="90">
        <f>T105-HLOOKUP(V105,Minimas!$C$1:$BN$10,9,FALSE)</f>
        <v>-60</v>
      </c>
      <c r="AJ105" s="90">
        <f>T105-HLOOKUP(V105,Minimas!$C$1:$BN$10,10,FALSE)</f>
        <v>-75</v>
      </c>
      <c r="AK105" s="91" t="str">
        <f t="shared" si="159"/>
        <v>FED +</v>
      </c>
      <c r="AM105" s="5" t="str">
        <f t="shared" ref="AM105" si="165">IF(AK105="","",AK105)</f>
        <v>FED +</v>
      </c>
      <c r="AN105" s="5">
        <f t="shared" ref="AN105" si="166">IF(E105=0," ",IF(AJ105&gt;=0,AJ105,IF(AI105&gt;=0,AI105,IF(AH105&gt;=0,AH105,IF(AG105&gt;=0,AG105,IF(AF105&gt;=0,AF105,IF(AE105&gt;=0,AE105,IF(AD105&gt;=0,AD105,IF(AC105&gt;=0,AC105,AB105)))))))))</f>
        <v>0</v>
      </c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</row>
    <row r="106" spans="1:123" s="5" customFormat="1" ht="27.95" customHeight="1" thickBot="1" x14ac:dyDescent="0.25">
      <c r="B106" s="148" t="s">
        <v>125</v>
      </c>
      <c r="C106" s="161">
        <v>330809</v>
      </c>
      <c r="D106" s="92">
        <v>6</v>
      </c>
      <c r="E106" s="84" t="s">
        <v>70</v>
      </c>
      <c r="F106" s="36" t="s">
        <v>512</v>
      </c>
      <c r="G106" s="37" t="s">
        <v>677</v>
      </c>
      <c r="H106" s="92">
        <v>1997</v>
      </c>
      <c r="I106" s="192" t="s">
        <v>555</v>
      </c>
      <c r="J106" s="35" t="s">
        <v>108</v>
      </c>
      <c r="K106" s="103">
        <v>61.3</v>
      </c>
      <c r="L106" s="38">
        <v>83</v>
      </c>
      <c r="M106" s="39">
        <v>87</v>
      </c>
      <c r="N106" s="39">
        <v>-90</v>
      </c>
      <c r="O106" s="54">
        <f t="shared" si="43"/>
        <v>87</v>
      </c>
      <c r="P106" s="53">
        <v>108</v>
      </c>
      <c r="Q106" s="53">
        <v>-112</v>
      </c>
      <c r="R106" s="53">
        <v>-113</v>
      </c>
      <c r="S106" s="54">
        <f t="shared" si="44"/>
        <v>108</v>
      </c>
      <c r="T106" s="55">
        <f t="shared" si="45"/>
        <v>195</v>
      </c>
      <c r="U106" s="56" t="str">
        <f t="shared" si="46"/>
        <v>FED + 0</v>
      </c>
      <c r="V106" s="86" t="str">
        <f>IF(E106=0," ",IF(E106="H",IF(OR(E106="SEN",H106&lt;1998),VLOOKUP(K106,Minimas!$A$11:$G$29,6),IF(AND(H106&gt;1997,H106&lt;2001),VLOOKUP(K106,Minimas!$A$11:$G$29,5),IF(AND(H106&gt;2000,H106&lt;2003),VLOOKUP(K106,Minimas!$A$11:$G$29,4),IF(AND(H106&gt;2002,H106&lt;2005),VLOOKUP(K106,Minimas!$A$11:$G$29,3),VLOOKUP(K106,Minimas!$A$11:$G$29,2))))),IF(OR(H106="SEN",H106&lt;1998),VLOOKUP(K106,Minimas!$G$11:$L$26,6),IF(AND(H106&gt;1997,H106&lt;2001),VLOOKUP(K106,Minimas!$G$11:$L$26,5),IF(AND(H106&gt;2000,H106&lt;2003),VLOOKUP(K106,Minimas!$G$11:$L$26,4),IF(AND(H106&gt;2002,H106&lt;2005),VLOOKUP(K106,Minimas!$G$11:$L$26,3),VLOOKUP(K106,Minimas!$G$11:$L$26,2)))))))</f>
        <v>S 62</v>
      </c>
      <c r="W106" s="62">
        <f t="shared" si="47"/>
        <v>279.87569804659847</v>
      </c>
      <c r="X106" s="63"/>
      <c r="Y106" s="155" t="s">
        <v>441</v>
      </c>
      <c r="AB106" s="90">
        <f>T106-HLOOKUP(V106,Minimas!$C$1:$BN$10,2,FALSE)</f>
        <v>80</v>
      </c>
      <c r="AC106" s="90">
        <f>T106-HLOOKUP(V106,Minimas!$C$1:$BN$10,3,FALSE)</f>
        <v>60</v>
      </c>
      <c r="AD106" s="90">
        <f>T106-HLOOKUP(V106,Minimas!$C$1:$BN$10,4,FALSE)</f>
        <v>45</v>
      </c>
      <c r="AE106" s="90">
        <f>T106-HLOOKUP(V106,Minimas!$C$1:$BN$10,5,FALSE)</f>
        <v>25</v>
      </c>
      <c r="AF106" s="90">
        <f>T106-HLOOKUP(V106,Minimas!$C$1:$BN$10,6,FALSE)</f>
        <v>0</v>
      </c>
      <c r="AG106" s="90">
        <f>T106-HLOOKUP(V106,Minimas!$C$1:$BN$10,7,FALSE)</f>
        <v>-15</v>
      </c>
      <c r="AH106" s="90">
        <f>T106-HLOOKUP(V106,Minimas!$C$1:$BN$10,8,FALSE)</f>
        <v>-35</v>
      </c>
      <c r="AI106" s="90">
        <f>T106-HLOOKUP(V106,Minimas!$C$1:$BN$10,9,FALSE)</f>
        <v>-60</v>
      </c>
      <c r="AJ106" s="90">
        <f>T106-HLOOKUP(V106,Minimas!$C$1:$BN$10,10,FALSE)</f>
        <v>-75</v>
      </c>
      <c r="AK106" s="91" t="str">
        <f t="shared" si="159"/>
        <v>FED +</v>
      </c>
      <c r="AM106" s="5" t="str">
        <f t="shared" si="48"/>
        <v>FED +</v>
      </c>
      <c r="AN106" s="5">
        <f t="shared" si="49"/>
        <v>0</v>
      </c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</row>
    <row r="107" spans="1:123" s="11" customFormat="1" ht="5.0999999999999996" customHeight="1" thickBot="1" x14ac:dyDescent="0.25">
      <c r="A107" s="8"/>
      <c r="B107" s="147"/>
      <c r="C107" s="160"/>
      <c r="D107" s="41"/>
      <c r="E107" s="41"/>
      <c r="F107" s="42"/>
      <c r="G107" s="43"/>
      <c r="H107" s="44"/>
      <c r="I107" s="193"/>
      <c r="J107" s="40"/>
      <c r="K107" s="101"/>
      <c r="L107" s="45"/>
      <c r="M107" s="45"/>
      <c r="N107" s="45"/>
      <c r="O107" s="46"/>
      <c r="P107" s="45"/>
      <c r="Q107" s="45"/>
      <c r="R107" s="45"/>
      <c r="S107" s="46"/>
      <c r="T107" s="46"/>
      <c r="U107" s="41"/>
      <c r="V107" s="48"/>
      <c r="W107" s="47"/>
      <c r="X107" s="7"/>
      <c r="Y107" s="154"/>
      <c r="Z107" s="7"/>
      <c r="AA107" s="7"/>
      <c r="AB107" s="89" t="s">
        <v>60</v>
      </c>
      <c r="AC107" s="89" t="s">
        <v>61</v>
      </c>
      <c r="AD107" s="89" t="s">
        <v>62</v>
      </c>
      <c r="AE107" s="89" t="s">
        <v>63</v>
      </c>
      <c r="AF107" s="89" t="s">
        <v>64</v>
      </c>
      <c r="AG107" s="89" t="s">
        <v>65</v>
      </c>
      <c r="AH107" s="89" t="s">
        <v>66</v>
      </c>
      <c r="AI107" s="89" t="s">
        <v>67</v>
      </c>
      <c r="AJ107" s="89" t="s">
        <v>68</v>
      </c>
      <c r="AK107" s="89"/>
      <c r="AL107" s="7"/>
      <c r="AM107" s="7"/>
      <c r="AN107" s="7"/>
      <c r="AO107" s="7"/>
      <c r="AP107" s="7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</row>
    <row r="108" spans="1:123" s="5" customFormat="1" ht="27.95" customHeight="1" x14ac:dyDescent="0.2">
      <c r="B108" s="148" t="s">
        <v>525</v>
      </c>
      <c r="C108" s="161">
        <v>98798</v>
      </c>
      <c r="D108" s="92">
        <v>1</v>
      </c>
      <c r="E108" s="84" t="s">
        <v>70</v>
      </c>
      <c r="F108" s="36" t="s">
        <v>267</v>
      </c>
      <c r="G108" s="37" t="s">
        <v>268</v>
      </c>
      <c r="H108" s="92">
        <v>1994</v>
      </c>
      <c r="I108" s="192" t="s">
        <v>565</v>
      </c>
      <c r="J108" s="35" t="s">
        <v>108</v>
      </c>
      <c r="K108" s="103">
        <v>66.7</v>
      </c>
      <c r="L108" s="38">
        <v>100</v>
      </c>
      <c r="M108" s="39">
        <v>103</v>
      </c>
      <c r="N108" s="39">
        <v>-107</v>
      </c>
      <c r="O108" s="54">
        <f t="shared" ref="O108:O118" si="167">IF(E108="","",IF(MAXA(L108:N108)&lt;=0,0,MAXA(L108:N108)))</f>
        <v>103</v>
      </c>
      <c r="P108" s="53">
        <v>124</v>
      </c>
      <c r="Q108" s="53">
        <v>128</v>
      </c>
      <c r="R108" s="53">
        <v>132</v>
      </c>
      <c r="S108" s="54">
        <f t="shared" ref="S108:S118" si="168">IF(E108="","",IF(MAXA(P108:R108)&lt;=0,0,MAXA(P108:R108)))</f>
        <v>132</v>
      </c>
      <c r="T108" s="55">
        <f t="shared" ref="T108:T118" si="169">IF(E108="","",IF(OR(O108=0,S108=0),0,O108+S108))</f>
        <v>235</v>
      </c>
      <c r="U108" s="56" t="str">
        <f t="shared" ref="U108:U118" si="170">+CONCATENATE(AM108," ",AN108)</f>
        <v>FED + 10</v>
      </c>
      <c r="V108" s="86" t="str">
        <f>IF(E108=0," ",IF(E108="H",IF(OR(E108="SEN",H108&lt;1998),VLOOKUP(K108,Minimas!$A$11:$G$29,6),IF(AND(H108&gt;1997,H108&lt;2001),VLOOKUP(K108,Minimas!$A$11:$G$29,5),IF(AND(H108&gt;2000,H108&lt;2003),VLOOKUP(K108,Minimas!$A$11:$G$29,4),IF(AND(H108&gt;2002,H108&lt;2005),VLOOKUP(K108,Minimas!$A$11:$G$29,3),VLOOKUP(K108,Minimas!$A$11:$G$29,2))))),IF(OR(H108="SEN",H108&lt;1998),VLOOKUP(K108,Minimas!$G$11:$L$26,6),IF(AND(H108&gt;1997,H108&lt;2001),VLOOKUP(K108,Minimas!$G$11:$L$26,5),IF(AND(H108&gt;2000,H108&lt;2003),VLOOKUP(K108,Minimas!$G$11:$L$26,4),IF(AND(H108&gt;2002,H108&lt;2005),VLOOKUP(K108,Minimas!$G$11:$L$26,3),VLOOKUP(K108,Minimas!$G$11:$L$26,2)))))))</f>
        <v>S 69</v>
      </c>
      <c r="W108" s="62">
        <f t="shared" ref="W108:W118" si="171">IF(E108=" "," ",IF(E108="H",10^(0.75194503*LOG(K108/175.508)^2)*T108,IF(E108="F",10^(0.783497476* LOG(K108/153.655)^2)*T108,"")))</f>
        <v>319.02083660026676</v>
      </c>
      <c r="X108" s="63"/>
      <c r="Y108" s="157" t="s">
        <v>131</v>
      </c>
      <c r="AB108" s="90">
        <f>T108-HLOOKUP(V108,Minimas!$C$1:$BN$10,2,FALSE)</f>
        <v>105</v>
      </c>
      <c r="AC108" s="90">
        <f>T108-HLOOKUP(V108,Minimas!$C$1:$BN$10,3,FALSE)</f>
        <v>85</v>
      </c>
      <c r="AD108" s="90">
        <f>T108-HLOOKUP(V108,Minimas!$C$1:$BN$10,4,FALSE)</f>
        <v>65</v>
      </c>
      <c r="AE108" s="90">
        <f>T108-HLOOKUP(V108,Minimas!$C$1:$BN$10,5,FALSE)</f>
        <v>40</v>
      </c>
      <c r="AF108" s="90">
        <f>T108-HLOOKUP(V108,Minimas!$C$1:$BN$10,6,FALSE)</f>
        <v>10</v>
      </c>
      <c r="AG108" s="90">
        <f>T108-HLOOKUP(V108,Minimas!$C$1:$BN$10,7,FALSE)</f>
        <v>-5</v>
      </c>
      <c r="AH108" s="90">
        <f>T108-HLOOKUP(V108,Minimas!$C$1:$BN$10,8,FALSE)</f>
        <v>-25</v>
      </c>
      <c r="AI108" s="90">
        <f>T108-HLOOKUP(V108,Minimas!$C$1:$BN$10,9,FALSE)</f>
        <v>-40</v>
      </c>
      <c r="AJ108" s="90">
        <f>T108-HLOOKUP(V108,Minimas!$C$1:$BN$10,10,FALSE)</f>
        <v>-55</v>
      </c>
      <c r="AK108" s="91" t="str">
        <f t="shared" ref="AK108:AK118" si="172">IF(E108=0," ",IF(AJ108&gt;=0,$AJ$5,IF(AI108&gt;=0,$AI$5,IF(AH108&gt;=0,$AH$5,IF(AG108&gt;=0,$AG$5,IF(AF108&gt;=0,$AF$5,IF(AE108&gt;=0,$AE$5,IF(AD108&gt;=0,$AD$5,IF(AC108&gt;=0,$AC$5,$AB$5)))))))))</f>
        <v>FED +</v>
      </c>
      <c r="AM108" s="5" t="str">
        <f t="shared" ref="AM108:AM118" si="173">IF(AK108="","",AK108)</f>
        <v>FED +</v>
      </c>
      <c r="AN108" s="5">
        <f t="shared" ref="AN108:AN118" si="174">IF(E108=0," ",IF(AJ108&gt;=0,AJ108,IF(AI108&gt;=0,AI108,IF(AH108&gt;=0,AH108,IF(AG108&gt;=0,AG108,IF(AF108&gt;=0,AF108,IF(AE108&gt;=0,AE108,IF(AD108&gt;=0,AD108,IF(AC108&gt;=0,AC108,AB108)))))))))</f>
        <v>10</v>
      </c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</row>
    <row r="109" spans="1:123" s="5" customFormat="1" ht="27.95" customHeight="1" x14ac:dyDescent="0.2">
      <c r="B109" s="148" t="s">
        <v>121</v>
      </c>
      <c r="C109" s="161">
        <v>310069</v>
      </c>
      <c r="D109" s="92">
        <v>2</v>
      </c>
      <c r="E109" s="84" t="s">
        <v>70</v>
      </c>
      <c r="F109" s="36" t="s">
        <v>408</v>
      </c>
      <c r="G109" s="37" t="s">
        <v>272</v>
      </c>
      <c r="H109" s="92">
        <v>1995</v>
      </c>
      <c r="I109" s="192" t="s">
        <v>545</v>
      </c>
      <c r="J109" s="35" t="s">
        <v>108</v>
      </c>
      <c r="K109" s="103">
        <v>68</v>
      </c>
      <c r="L109" s="38">
        <v>100</v>
      </c>
      <c r="M109" s="39">
        <v>105</v>
      </c>
      <c r="N109" s="39">
        <v>108</v>
      </c>
      <c r="O109" s="54">
        <f t="shared" si="167"/>
        <v>108</v>
      </c>
      <c r="P109" s="53">
        <v>127</v>
      </c>
      <c r="Q109" s="53">
        <v>-132</v>
      </c>
      <c r="R109" s="53">
        <v>-132</v>
      </c>
      <c r="S109" s="54">
        <f t="shared" si="168"/>
        <v>127</v>
      </c>
      <c r="T109" s="55">
        <f t="shared" si="169"/>
        <v>235</v>
      </c>
      <c r="U109" s="56" t="str">
        <f t="shared" si="170"/>
        <v>FED + 10</v>
      </c>
      <c r="V109" s="86" t="str">
        <f>IF(E109=0," ",IF(E109="H",IF(OR(E109="SEN",H109&lt;1998),VLOOKUP(K109,Minimas!$A$11:$G$29,6),IF(AND(H109&gt;1997,H109&lt;2001),VLOOKUP(K109,Minimas!$A$11:$G$29,5),IF(AND(H109&gt;2000,H109&lt;2003),VLOOKUP(K109,Minimas!$A$11:$G$29,4),IF(AND(H109&gt;2002,H109&lt;2005),VLOOKUP(K109,Minimas!$A$11:$G$29,3),VLOOKUP(K109,Minimas!$A$11:$G$29,2))))),IF(OR(H109="SEN",H109&lt;1998),VLOOKUP(K109,Minimas!$G$11:$L$26,6),IF(AND(H109&gt;1997,H109&lt;2001),VLOOKUP(K109,Minimas!$G$11:$L$26,5),IF(AND(H109&gt;2000,H109&lt;2003),VLOOKUP(K109,Minimas!$G$11:$L$26,4),IF(AND(H109&gt;2002,H109&lt;2005),VLOOKUP(K109,Minimas!$G$11:$L$26,3),VLOOKUP(K109,Minimas!$G$11:$L$26,2)))))))</f>
        <v>S 69</v>
      </c>
      <c r="W109" s="62">
        <f t="shared" si="171"/>
        <v>315.19164750392099</v>
      </c>
      <c r="X109" s="63"/>
      <c r="Y109" s="156" t="s">
        <v>319</v>
      </c>
      <c r="AB109" s="90">
        <f>T109-HLOOKUP(V109,Minimas!$C$1:$BN$10,2,FALSE)</f>
        <v>105</v>
      </c>
      <c r="AC109" s="90">
        <f>T109-HLOOKUP(V109,Minimas!$C$1:$BN$10,3,FALSE)</f>
        <v>85</v>
      </c>
      <c r="AD109" s="90">
        <f>T109-HLOOKUP(V109,Minimas!$C$1:$BN$10,4,FALSE)</f>
        <v>65</v>
      </c>
      <c r="AE109" s="90">
        <f>T109-HLOOKUP(V109,Minimas!$C$1:$BN$10,5,FALSE)</f>
        <v>40</v>
      </c>
      <c r="AF109" s="90">
        <f>T109-HLOOKUP(V109,Minimas!$C$1:$BN$10,6,FALSE)</f>
        <v>10</v>
      </c>
      <c r="AG109" s="90">
        <f>T109-HLOOKUP(V109,Minimas!$C$1:$BN$10,7,FALSE)</f>
        <v>-5</v>
      </c>
      <c r="AH109" s="90">
        <f>T109-HLOOKUP(V109,Minimas!$C$1:$BN$10,8,FALSE)</f>
        <v>-25</v>
      </c>
      <c r="AI109" s="90">
        <f>T109-HLOOKUP(V109,Minimas!$C$1:$BN$10,9,FALSE)</f>
        <v>-40</v>
      </c>
      <c r="AJ109" s="90">
        <f>T109-HLOOKUP(V109,Minimas!$C$1:$BN$10,10,FALSE)</f>
        <v>-55</v>
      </c>
      <c r="AK109" s="91" t="str">
        <f t="shared" si="172"/>
        <v>FED +</v>
      </c>
      <c r="AM109" s="5" t="str">
        <f t="shared" si="173"/>
        <v>FED +</v>
      </c>
      <c r="AN109" s="5">
        <f t="shared" si="174"/>
        <v>10</v>
      </c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</row>
    <row r="110" spans="1:123" s="5" customFormat="1" ht="27.95" customHeight="1" x14ac:dyDescent="0.2">
      <c r="B110" s="148" t="s">
        <v>120</v>
      </c>
      <c r="C110" s="161">
        <v>225360</v>
      </c>
      <c r="D110" s="92">
        <v>3</v>
      </c>
      <c r="E110" s="84" t="s">
        <v>70</v>
      </c>
      <c r="F110" s="36" t="s">
        <v>269</v>
      </c>
      <c r="G110" s="37" t="s">
        <v>270</v>
      </c>
      <c r="H110" s="92">
        <v>1995</v>
      </c>
      <c r="I110" s="192" t="s">
        <v>151</v>
      </c>
      <c r="J110" s="35" t="s">
        <v>108</v>
      </c>
      <c r="K110" s="103">
        <v>68.599999999999994</v>
      </c>
      <c r="L110" s="38">
        <v>100</v>
      </c>
      <c r="M110" s="39">
        <v>-105</v>
      </c>
      <c r="N110" s="39">
        <v>-105</v>
      </c>
      <c r="O110" s="54">
        <f t="shared" si="167"/>
        <v>100</v>
      </c>
      <c r="P110" s="53">
        <v>125</v>
      </c>
      <c r="Q110" s="53">
        <v>133</v>
      </c>
      <c r="R110" s="53">
        <v>-136</v>
      </c>
      <c r="S110" s="54">
        <f t="shared" si="168"/>
        <v>133</v>
      </c>
      <c r="T110" s="55">
        <f t="shared" si="169"/>
        <v>233</v>
      </c>
      <c r="U110" s="56" t="str">
        <f t="shared" si="170"/>
        <v>FED + 8</v>
      </c>
      <c r="V110" s="86" t="str">
        <f>IF(E110=0," ",IF(E110="H",IF(OR(E110="SEN",H110&lt;1998),VLOOKUP(K110,Minimas!$A$11:$G$29,6),IF(AND(H110&gt;1997,H110&lt;2001),VLOOKUP(K110,Minimas!$A$11:$G$29,5),IF(AND(H110&gt;2000,H110&lt;2003),VLOOKUP(K110,Minimas!$A$11:$G$29,4),IF(AND(H110&gt;2002,H110&lt;2005),VLOOKUP(K110,Minimas!$A$11:$G$29,3),VLOOKUP(K110,Minimas!$A$11:$G$29,2))))),IF(OR(H110="SEN",H110&lt;1998),VLOOKUP(K110,Minimas!$G$11:$L$26,6),IF(AND(H110&gt;1997,H110&lt;2001),VLOOKUP(K110,Minimas!$G$11:$L$26,5),IF(AND(H110&gt;2000,H110&lt;2003),VLOOKUP(K110,Minimas!$G$11:$L$26,4),IF(AND(H110&gt;2002,H110&lt;2005),VLOOKUP(K110,Minimas!$G$11:$L$26,3),VLOOKUP(K110,Minimas!$G$11:$L$26,2)))))))</f>
        <v>S 69</v>
      </c>
      <c r="W110" s="62">
        <f t="shared" si="171"/>
        <v>310.82147026249697</v>
      </c>
      <c r="X110" s="63"/>
      <c r="Y110" s="157" t="s">
        <v>131</v>
      </c>
      <c r="AB110" s="90">
        <f>T110-HLOOKUP(V110,Minimas!$C$1:$BN$10,2,FALSE)</f>
        <v>103</v>
      </c>
      <c r="AC110" s="90">
        <f>T110-HLOOKUP(V110,Minimas!$C$1:$BN$10,3,FALSE)</f>
        <v>83</v>
      </c>
      <c r="AD110" s="90">
        <f>T110-HLOOKUP(V110,Minimas!$C$1:$BN$10,4,FALSE)</f>
        <v>63</v>
      </c>
      <c r="AE110" s="90">
        <f>T110-HLOOKUP(V110,Minimas!$C$1:$BN$10,5,FALSE)</f>
        <v>38</v>
      </c>
      <c r="AF110" s="90">
        <f>T110-HLOOKUP(V110,Minimas!$C$1:$BN$10,6,FALSE)</f>
        <v>8</v>
      </c>
      <c r="AG110" s="90">
        <f>T110-HLOOKUP(V110,Minimas!$C$1:$BN$10,7,FALSE)</f>
        <v>-7</v>
      </c>
      <c r="AH110" s="90">
        <f>T110-HLOOKUP(V110,Minimas!$C$1:$BN$10,8,FALSE)</f>
        <v>-27</v>
      </c>
      <c r="AI110" s="90">
        <f>T110-HLOOKUP(V110,Minimas!$C$1:$BN$10,9,FALSE)</f>
        <v>-42</v>
      </c>
      <c r="AJ110" s="90">
        <f>T110-HLOOKUP(V110,Minimas!$C$1:$BN$10,10,FALSE)</f>
        <v>-57</v>
      </c>
      <c r="AK110" s="91" t="str">
        <f t="shared" si="172"/>
        <v>FED +</v>
      </c>
      <c r="AM110" s="5" t="str">
        <f t="shared" si="173"/>
        <v>FED +</v>
      </c>
      <c r="AN110" s="5">
        <f t="shared" si="174"/>
        <v>8</v>
      </c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</row>
    <row r="111" spans="1:123" s="5" customFormat="1" ht="27.95" customHeight="1" x14ac:dyDescent="0.2">
      <c r="B111" s="148" t="s">
        <v>123</v>
      </c>
      <c r="C111" s="161">
        <v>41754</v>
      </c>
      <c r="D111" s="92">
        <v>4</v>
      </c>
      <c r="E111" s="84" t="s">
        <v>70</v>
      </c>
      <c r="F111" s="36" t="s">
        <v>273</v>
      </c>
      <c r="G111" s="37" t="s">
        <v>678</v>
      </c>
      <c r="H111" s="92">
        <v>1980</v>
      </c>
      <c r="I111" s="192" t="s">
        <v>136</v>
      </c>
      <c r="J111" s="35" t="s">
        <v>108</v>
      </c>
      <c r="K111" s="103">
        <v>68.25</v>
      </c>
      <c r="L111" s="38">
        <v>97</v>
      </c>
      <c r="M111" s="39">
        <v>-102</v>
      </c>
      <c r="N111" s="39">
        <v>102</v>
      </c>
      <c r="O111" s="54">
        <f t="shared" si="167"/>
        <v>102</v>
      </c>
      <c r="P111" s="53">
        <v>123</v>
      </c>
      <c r="Q111" s="53">
        <v>128</v>
      </c>
      <c r="R111" s="53">
        <v>131</v>
      </c>
      <c r="S111" s="54">
        <f t="shared" si="168"/>
        <v>131</v>
      </c>
      <c r="T111" s="55">
        <f t="shared" si="169"/>
        <v>233</v>
      </c>
      <c r="U111" s="56" t="str">
        <f t="shared" si="170"/>
        <v>FED + 8</v>
      </c>
      <c r="V111" s="86" t="str">
        <f>IF(E111=0," ",IF(E111="H",IF(OR(E111="SEN",H111&lt;1998),VLOOKUP(K111,Minimas!$A$11:$G$29,6),IF(AND(H111&gt;1997,H111&lt;2001),VLOOKUP(K111,Minimas!$A$11:$G$29,5),IF(AND(H111&gt;2000,H111&lt;2003),VLOOKUP(K111,Minimas!$A$11:$G$29,4),IF(AND(H111&gt;2002,H111&lt;2005),VLOOKUP(K111,Minimas!$A$11:$G$29,3),VLOOKUP(K111,Minimas!$A$11:$G$29,2))))),IF(OR(H111="SEN",H111&lt;1998),VLOOKUP(K111,Minimas!$G$11:$L$26,6),IF(AND(H111&gt;1997,H111&lt;2001),VLOOKUP(K111,Minimas!$G$11:$L$26,5),IF(AND(H111&gt;2000,H111&lt;2003),VLOOKUP(K111,Minimas!$G$11:$L$26,4),IF(AND(H111&gt;2002,H111&lt;2005),VLOOKUP(K111,Minimas!$G$11:$L$26,3),VLOOKUP(K111,Minimas!$G$11:$L$26,2)))))))</f>
        <v>S 69</v>
      </c>
      <c r="W111" s="62">
        <f t="shared" si="171"/>
        <v>311.80113347422451</v>
      </c>
      <c r="X111" s="63"/>
      <c r="Y111" s="155" t="s">
        <v>441</v>
      </c>
      <c r="AB111" s="90">
        <f>T111-HLOOKUP(V111,Minimas!$C$1:$BN$10,2,FALSE)</f>
        <v>103</v>
      </c>
      <c r="AC111" s="90">
        <f>T111-HLOOKUP(V111,Minimas!$C$1:$BN$10,3,FALSE)</f>
        <v>83</v>
      </c>
      <c r="AD111" s="90">
        <f>T111-HLOOKUP(V111,Minimas!$C$1:$BN$10,4,FALSE)</f>
        <v>63</v>
      </c>
      <c r="AE111" s="90">
        <f>T111-HLOOKUP(V111,Minimas!$C$1:$BN$10,5,FALSE)</f>
        <v>38</v>
      </c>
      <c r="AF111" s="90">
        <f>T111-HLOOKUP(V111,Minimas!$C$1:$BN$10,6,FALSE)</f>
        <v>8</v>
      </c>
      <c r="AG111" s="90">
        <f>T111-HLOOKUP(V111,Minimas!$C$1:$BN$10,7,FALSE)</f>
        <v>-7</v>
      </c>
      <c r="AH111" s="90">
        <f>T111-HLOOKUP(V111,Minimas!$C$1:$BN$10,8,FALSE)</f>
        <v>-27</v>
      </c>
      <c r="AI111" s="90">
        <f>T111-HLOOKUP(V111,Minimas!$C$1:$BN$10,9,FALSE)</f>
        <v>-42</v>
      </c>
      <c r="AJ111" s="90">
        <f>T111-HLOOKUP(V111,Minimas!$C$1:$BN$10,10,FALSE)</f>
        <v>-57</v>
      </c>
      <c r="AK111" s="91" t="str">
        <f t="shared" si="172"/>
        <v>FED +</v>
      </c>
      <c r="AM111" s="5" t="str">
        <f t="shared" si="173"/>
        <v>FED +</v>
      </c>
      <c r="AN111" s="5">
        <f t="shared" si="174"/>
        <v>8</v>
      </c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</row>
    <row r="112" spans="1:123" s="5" customFormat="1" ht="27.95" customHeight="1" x14ac:dyDescent="0.2">
      <c r="B112" s="148" t="s">
        <v>125</v>
      </c>
      <c r="C112" s="161">
        <v>28538</v>
      </c>
      <c r="D112" s="92">
        <v>5</v>
      </c>
      <c r="E112" s="84" t="s">
        <v>70</v>
      </c>
      <c r="F112" s="36" t="s">
        <v>271</v>
      </c>
      <c r="G112" s="37" t="s">
        <v>679</v>
      </c>
      <c r="H112" s="92">
        <v>1982</v>
      </c>
      <c r="I112" s="192" t="s">
        <v>555</v>
      </c>
      <c r="J112" s="35" t="s">
        <v>108</v>
      </c>
      <c r="K112" s="103">
        <v>68.95</v>
      </c>
      <c r="L112" s="38">
        <v>101</v>
      </c>
      <c r="M112" s="39">
        <v>104</v>
      </c>
      <c r="N112" s="39">
        <v>106</v>
      </c>
      <c r="O112" s="54">
        <f t="shared" si="167"/>
        <v>106</v>
      </c>
      <c r="P112" s="53">
        <v>119</v>
      </c>
      <c r="Q112" s="53">
        <v>-124</v>
      </c>
      <c r="R112" s="53">
        <v>126</v>
      </c>
      <c r="S112" s="54">
        <f t="shared" si="168"/>
        <v>126</v>
      </c>
      <c r="T112" s="55">
        <f t="shared" si="169"/>
        <v>232</v>
      </c>
      <c r="U112" s="56" t="str">
        <f t="shared" si="170"/>
        <v>FED + 7</v>
      </c>
      <c r="V112" s="86" t="str">
        <f>IF(E112=0," ",IF(E112="H",IF(OR(E112="SEN",H112&lt;1998),VLOOKUP(K112,Minimas!$A$11:$G$29,6),IF(AND(H112&gt;1997,H112&lt;2001),VLOOKUP(K112,Minimas!$A$11:$G$29,5),IF(AND(H112&gt;2000,H112&lt;2003),VLOOKUP(K112,Minimas!$A$11:$G$29,4),IF(AND(H112&gt;2002,H112&lt;2005),VLOOKUP(K112,Minimas!$A$11:$G$29,3),VLOOKUP(K112,Minimas!$A$11:$G$29,2))))),IF(OR(H112="SEN",H112&lt;1998),VLOOKUP(K112,Minimas!$G$11:$L$26,6),IF(AND(H112&gt;1997,H112&lt;2001),VLOOKUP(K112,Minimas!$G$11:$L$26,5),IF(AND(H112&gt;2000,H112&lt;2003),VLOOKUP(K112,Minimas!$G$11:$L$26,4),IF(AND(H112&gt;2002,H112&lt;2005),VLOOKUP(K112,Minimas!$G$11:$L$26,3),VLOOKUP(K112,Minimas!$G$11:$L$26,2)))))))</f>
        <v>S 69</v>
      </c>
      <c r="W112" s="62">
        <f t="shared" si="171"/>
        <v>308.52525164594527</v>
      </c>
      <c r="X112" s="63"/>
      <c r="Y112" s="157" t="s">
        <v>131</v>
      </c>
      <c r="AB112" s="90">
        <f>T112-HLOOKUP(V112,Minimas!$C$1:$BN$10,2,FALSE)</f>
        <v>102</v>
      </c>
      <c r="AC112" s="90">
        <f>T112-HLOOKUP(V112,Minimas!$C$1:$BN$10,3,FALSE)</f>
        <v>82</v>
      </c>
      <c r="AD112" s="90">
        <f>T112-HLOOKUP(V112,Minimas!$C$1:$BN$10,4,FALSE)</f>
        <v>62</v>
      </c>
      <c r="AE112" s="90">
        <f>T112-HLOOKUP(V112,Minimas!$C$1:$BN$10,5,FALSE)</f>
        <v>37</v>
      </c>
      <c r="AF112" s="90">
        <f>T112-HLOOKUP(V112,Minimas!$C$1:$BN$10,6,FALSE)</f>
        <v>7</v>
      </c>
      <c r="AG112" s="90">
        <f>T112-HLOOKUP(V112,Minimas!$C$1:$BN$10,7,FALSE)</f>
        <v>-8</v>
      </c>
      <c r="AH112" s="90">
        <f>T112-HLOOKUP(V112,Minimas!$C$1:$BN$10,8,FALSE)</f>
        <v>-28</v>
      </c>
      <c r="AI112" s="90">
        <f>T112-HLOOKUP(V112,Minimas!$C$1:$BN$10,9,FALSE)</f>
        <v>-43</v>
      </c>
      <c r="AJ112" s="90">
        <f>T112-HLOOKUP(V112,Minimas!$C$1:$BN$10,10,FALSE)</f>
        <v>-58</v>
      </c>
      <c r="AK112" s="91" t="str">
        <f t="shared" si="172"/>
        <v>FED +</v>
      </c>
      <c r="AM112" s="5" t="str">
        <f t="shared" si="173"/>
        <v>FED +</v>
      </c>
      <c r="AN112" s="5">
        <f t="shared" si="174"/>
        <v>7</v>
      </c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</row>
    <row r="113" spans="1:123" s="5" customFormat="1" ht="27.95" customHeight="1" x14ac:dyDescent="0.2">
      <c r="B113" s="148" t="s">
        <v>124</v>
      </c>
      <c r="C113" s="161">
        <v>429468</v>
      </c>
      <c r="D113" s="92">
        <v>6</v>
      </c>
      <c r="E113" s="84" t="s">
        <v>70</v>
      </c>
      <c r="F113" s="36" t="s">
        <v>409</v>
      </c>
      <c r="G113" s="37" t="s">
        <v>268</v>
      </c>
      <c r="H113" s="92">
        <v>1983</v>
      </c>
      <c r="I113" s="192" t="s">
        <v>552</v>
      </c>
      <c r="J113" s="35" t="s">
        <v>108</v>
      </c>
      <c r="K113" s="103">
        <v>64.400000000000006</v>
      </c>
      <c r="L113" s="38">
        <v>-90</v>
      </c>
      <c r="M113" s="39">
        <v>90</v>
      </c>
      <c r="N113" s="39">
        <v>95</v>
      </c>
      <c r="O113" s="54">
        <f t="shared" si="167"/>
        <v>95</v>
      </c>
      <c r="P113" s="53">
        <v>125</v>
      </c>
      <c r="Q113" s="53">
        <v>130</v>
      </c>
      <c r="R113" s="53">
        <v>135</v>
      </c>
      <c r="S113" s="54">
        <f t="shared" si="168"/>
        <v>135</v>
      </c>
      <c r="T113" s="55">
        <f t="shared" si="169"/>
        <v>230</v>
      </c>
      <c r="U113" s="56" t="str">
        <f t="shared" si="170"/>
        <v>FED + 5</v>
      </c>
      <c r="V113" s="86" t="str">
        <f>IF(E113=0," ",IF(E113="H",IF(OR(E113="SEN",H113&lt;1998),VLOOKUP(K113,Minimas!$A$11:$G$29,6),IF(AND(H113&gt;1997,H113&lt;2001),VLOOKUP(K113,Minimas!$A$11:$G$29,5),IF(AND(H113&gt;2000,H113&lt;2003),VLOOKUP(K113,Minimas!$A$11:$G$29,4),IF(AND(H113&gt;2002,H113&lt;2005),VLOOKUP(K113,Minimas!$A$11:$G$29,3),VLOOKUP(K113,Minimas!$A$11:$G$29,2))))),IF(OR(H113="SEN",H113&lt;1998),VLOOKUP(K113,Minimas!$G$11:$L$26,6),IF(AND(H113&gt;1997,H113&lt;2001),VLOOKUP(K113,Minimas!$G$11:$L$26,5),IF(AND(H113&gt;2000,H113&lt;2003),VLOOKUP(K113,Minimas!$G$11:$L$26,4),IF(AND(H113&gt;2002,H113&lt;2005),VLOOKUP(K113,Minimas!$G$11:$L$26,3),VLOOKUP(K113,Minimas!$G$11:$L$26,2)))))))</f>
        <v>S 69</v>
      </c>
      <c r="W113" s="62">
        <f t="shared" si="171"/>
        <v>319.36231444877831</v>
      </c>
      <c r="X113" s="63"/>
      <c r="Y113" s="156" t="s">
        <v>319</v>
      </c>
      <c r="AB113" s="90">
        <f>T113-HLOOKUP(V113,Minimas!$C$1:$BN$10,2,FALSE)</f>
        <v>100</v>
      </c>
      <c r="AC113" s="90">
        <f>T113-HLOOKUP(V113,Minimas!$C$1:$BN$10,3,FALSE)</f>
        <v>80</v>
      </c>
      <c r="AD113" s="90">
        <f>T113-HLOOKUP(V113,Minimas!$C$1:$BN$10,4,FALSE)</f>
        <v>60</v>
      </c>
      <c r="AE113" s="90">
        <f>T113-HLOOKUP(V113,Minimas!$C$1:$BN$10,5,FALSE)</f>
        <v>35</v>
      </c>
      <c r="AF113" s="90">
        <f>T113-HLOOKUP(V113,Minimas!$C$1:$BN$10,6,FALSE)</f>
        <v>5</v>
      </c>
      <c r="AG113" s="90">
        <f>T113-HLOOKUP(V113,Minimas!$C$1:$BN$10,7,FALSE)</f>
        <v>-10</v>
      </c>
      <c r="AH113" s="90">
        <f>T113-HLOOKUP(V113,Minimas!$C$1:$BN$10,8,FALSE)</f>
        <v>-30</v>
      </c>
      <c r="AI113" s="90">
        <f>T113-HLOOKUP(V113,Minimas!$C$1:$BN$10,9,FALSE)</f>
        <v>-45</v>
      </c>
      <c r="AJ113" s="90">
        <f>T113-HLOOKUP(V113,Minimas!$C$1:$BN$10,10,FALSE)</f>
        <v>-60</v>
      </c>
      <c r="AK113" s="91" t="str">
        <f t="shared" si="172"/>
        <v>FED +</v>
      </c>
      <c r="AM113" s="5" t="str">
        <f t="shared" si="173"/>
        <v>FED +</v>
      </c>
      <c r="AN113" s="5">
        <f t="shared" si="174"/>
        <v>5</v>
      </c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  <c r="BW113" s="97"/>
      <c r="BX113" s="97"/>
    </row>
    <row r="114" spans="1:123" s="5" customFormat="1" ht="27.95" customHeight="1" x14ac:dyDescent="0.2">
      <c r="B114" s="148" t="s">
        <v>314</v>
      </c>
      <c r="C114" s="161">
        <v>168623</v>
      </c>
      <c r="D114" s="92">
        <v>7</v>
      </c>
      <c r="E114" s="84" t="s">
        <v>70</v>
      </c>
      <c r="F114" s="36" t="s">
        <v>514</v>
      </c>
      <c r="G114" s="37" t="s">
        <v>429</v>
      </c>
      <c r="H114" s="92">
        <v>1994</v>
      </c>
      <c r="I114" s="192" t="s">
        <v>566</v>
      </c>
      <c r="J114" s="35" t="s">
        <v>108</v>
      </c>
      <c r="K114" s="103">
        <v>68.3</v>
      </c>
      <c r="L114" s="38">
        <v>95</v>
      </c>
      <c r="M114" s="39">
        <v>-100</v>
      </c>
      <c r="N114" s="39">
        <v>100</v>
      </c>
      <c r="O114" s="54">
        <f t="shared" si="167"/>
        <v>100</v>
      </c>
      <c r="P114" s="53">
        <v>-125</v>
      </c>
      <c r="Q114" s="53">
        <v>125</v>
      </c>
      <c r="R114" s="53">
        <v>130</v>
      </c>
      <c r="S114" s="54">
        <f t="shared" si="168"/>
        <v>130</v>
      </c>
      <c r="T114" s="55">
        <f t="shared" si="169"/>
        <v>230</v>
      </c>
      <c r="U114" s="56" t="str">
        <f t="shared" si="170"/>
        <v>FED + 5</v>
      </c>
      <c r="V114" s="86" t="str">
        <f>IF(E114=0," ",IF(E114="H",IF(OR(E114="SEN",H114&lt;1998),VLOOKUP(K114,Minimas!$A$11:$G$29,6),IF(AND(H114&gt;1997,H114&lt;2001),VLOOKUP(K114,Minimas!$A$11:$G$29,5),IF(AND(H114&gt;2000,H114&lt;2003),VLOOKUP(K114,Minimas!$A$11:$G$29,4),IF(AND(H114&gt;2002,H114&lt;2005),VLOOKUP(K114,Minimas!$A$11:$G$29,3),VLOOKUP(K114,Minimas!$A$11:$G$29,2))))),IF(OR(H114="SEN",H114&lt;1998),VLOOKUP(K114,Minimas!$G$11:$L$26,6),IF(AND(H114&gt;1997,H114&lt;2001),VLOOKUP(K114,Minimas!$G$11:$L$26,5),IF(AND(H114&gt;2000,H114&lt;2003),VLOOKUP(K114,Minimas!$G$11:$L$26,4),IF(AND(H114&gt;2002,H114&lt;2005),VLOOKUP(K114,Minimas!$G$11:$L$26,3),VLOOKUP(K114,Minimas!$G$11:$L$26,2)))))))</f>
        <v>S 69</v>
      </c>
      <c r="W114" s="62">
        <f t="shared" si="171"/>
        <v>307.64756426151251</v>
      </c>
      <c r="X114" s="63"/>
      <c r="Y114" s="155" t="s">
        <v>441</v>
      </c>
      <c r="AB114" s="90">
        <f>T114-HLOOKUP(V114,Minimas!$C$1:$BN$10,2,FALSE)</f>
        <v>100</v>
      </c>
      <c r="AC114" s="90">
        <f>T114-HLOOKUP(V114,Minimas!$C$1:$BN$10,3,FALSE)</f>
        <v>80</v>
      </c>
      <c r="AD114" s="90">
        <f>T114-HLOOKUP(V114,Minimas!$C$1:$BN$10,4,FALSE)</f>
        <v>60</v>
      </c>
      <c r="AE114" s="90">
        <f>T114-HLOOKUP(V114,Minimas!$C$1:$BN$10,5,FALSE)</f>
        <v>35</v>
      </c>
      <c r="AF114" s="90">
        <f>T114-HLOOKUP(V114,Minimas!$C$1:$BN$10,6,FALSE)</f>
        <v>5</v>
      </c>
      <c r="AG114" s="90">
        <f>T114-HLOOKUP(V114,Minimas!$C$1:$BN$10,7,FALSE)</f>
        <v>-10</v>
      </c>
      <c r="AH114" s="90">
        <f>T114-HLOOKUP(V114,Minimas!$C$1:$BN$10,8,FALSE)</f>
        <v>-30</v>
      </c>
      <c r="AI114" s="90">
        <f>T114-HLOOKUP(V114,Minimas!$C$1:$BN$10,9,FALSE)</f>
        <v>-45</v>
      </c>
      <c r="AJ114" s="90">
        <f>T114-HLOOKUP(V114,Minimas!$C$1:$BN$10,10,FALSE)</f>
        <v>-60</v>
      </c>
      <c r="AK114" s="91" t="str">
        <f t="shared" si="172"/>
        <v>FED +</v>
      </c>
      <c r="AM114" s="5" t="str">
        <f t="shared" si="173"/>
        <v>FED +</v>
      </c>
      <c r="AN114" s="5">
        <f t="shared" si="174"/>
        <v>5</v>
      </c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</row>
    <row r="115" spans="1:123" s="5" customFormat="1" ht="27.95" customHeight="1" x14ac:dyDescent="0.2">
      <c r="B115" s="148" t="s">
        <v>125</v>
      </c>
      <c r="C115" s="161">
        <v>415283</v>
      </c>
      <c r="D115" s="92">
        <v>8</v>
      </c>
      <c r="E115" s="84" t="s">
        <v>70</v>
      </c>
      <c r="F115" s="36" t="s">
        <v>410</v>
      </c>
      <c r="G115" s="37" t="s">
        <v>235</v>
      </c>
      <c r="H115" s="92">
        <v>1993</v>
      </c>
      <c r="I115" s="192" t="s">
        <v>555</v>
      </c>
      <c r="J115" s="35" t="s">
        <v>108</v>
      </c>
      <c r="K115" s="103">
        <v>69</v>
      </c>
      <c r="L115" s="38">
        <v>105</v>
      </c>
      <c r="M115" s="39">
        <v>108</v>
      </c>
      <c r="N115" s="39">
        <v>-110</v>
      </c>
      <c r="O115" s="54">
        <f t="shared" si="167"/>
        <v>108</v>
      </c>
      <c r="P115" s="53">
        <v>-120</v>
      </c>
      <c r="Q115" s="53">
        <v>-120</v>
      </c>
      <c r="R115" s="53">
        <v>120</v>
      </c>
      <c r="S115" s="54">
        <f t="shared" si="168"/>
        <v>120</v>
      </c>
      <c r="T115" s="55">
        <f t="shared" si="169"/>
        <v>228</v>
      </c>
      <c r="U115" s="56" t="str">
        <f t="shared" si="170"/>
        <v>FED + 3</v>
      </c>
      <c r="V115" s="86" t="str">
        <f>IF(E115=0," ",IF(E115="H",IF(OR(E115="SEN",H115&lt;1998),VLOOKUP(K115,Minimas!$A$11:$G$29,6),IF(AND(H115&gt;1997,H115&lt;2001),VLOOKUP(K115,Minimas!$A$11:$G$29,5),IF(AND(H115&gt;2000,H115&lt;2003),VLOOKUP(K115,Minimas!$A$11:$G$29,4),IF(AND(H115&gt;2002,H115&lt;2005),VLOOKUP(K115,Minimas!$A$11:$G$29,3),VLOOKUP(K115,Minimas!$A$11:$G$29,2))))),IF(OR(H115="SEN",H115&lt;1998),VLOOKUP(K115,Minimas!$G$11:$L$26,6),IF(AND(H115&gt;1997,H115&lt;2001),VLOOKUP(K115,Minimas!$G$11:$L$26,5),IF(AND(H115&gt;2000,H115&lt;2003),VLOOKUP(K115,Minimas!$G$11:$L$26,4),IF(AND(H115&gt;2002,H115&lt;2005),VLOOKUP(K115,Minimas!$G$11:$L$26,3),VLOOKUP(K115,Minimas!$G$11:$L$26,2)))))))</f>
        <v>S 69</v>
      </c>
      <c r="W115" s="62">
        <f t="shared" si="171"/>
        <v>303.07180918136089</v>
      </c>
      <c r="X115" s="63"/>
      <c r="Y115" s="156" t="s">
        <v>319</v>
      </c>
      <c r="AB115" s="90">
        <f>T115-HLOOKUP(V115,Minimas!$C$1:$BN$10,2,FALSE)</f>
        <v>98</v>
      </c>
      <c r="AC115" s="90">
        <f>T115-HLOOKUP(V115,Minimas!$C$1:$BN$10,3,FALSE)</f>
        <v>78</v>
      </c>
      <c r="AD115" s="90">
        <f>T115-HLOOKUP(V115,Minimas!$C$1:$BN$10,4,FALSE)</f>
        <v>58</v>
      </c>
      <c r="AE115" s="90">
        <f>T115-HLOOKUP(V115,Minimas!$C$1:$BN$10,5,FALSE)</f>
        <v>33</v>
      </c>
      <c r="AF115" s="90">
        <f>T115-HLOOKUP(V115,Minimas!$C$1:$BN$10,6,FALSE)</f>
        <v>3</v>
      </c>
      <c r="AG115" s="90">
        <f>T115-HLOOKUP(V115,Minimas!$C$1:$BN$10,7,FALSE)</f>
        <v>-12</v>
      </c>
      <c r="AH115" s="90">
        <f>T115-HLOOKUP(V115,Minimas!$C$1:$BN$10,8,FALSE)</f>
        <v>-32</v>
      </c>
      <c r="AI115" s="90">
        <f>T115-HLOOKUP(V115,Minimas!$C$1:$BN$10,9,FALSE)</f>
        <v>-47</v>
      </c>
      <c r="AJ115" s="90">
        <f>T115-HLOOKUP(V115,Minimas!$C$1:$BN$10,10,FALSE)</f>
        <v>-62</v>
      </c>
      <c r="AK115" s="91" t="str">
        <f t="shared" si="172"/>
        <v>FED +</v>
      </c>
      <c r="AM115" s="5" t="str">
        <f t="shared" si="173"/>
        <v>FED +</v>
      </c>
      <c r="AN115" s="5">
        <f t="shared" si="174"/>
        <v>3</v>
      </c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</row>
    <row r="116" spans="1:123" s="5" customFormat="1" ht="27.95" customHeight="1" x14ac:dyDescent="0.2">
      <c r="B116" s="148" t="s">
        <v>125</v>
      </c>
      <c r="C116" s="161">
        <v>400819</v>
      </c>
      <c r="D116" s="92">
        <v>9</v>
      </c>
      <c r="E116" s="84" t="s">
        <v>70</v>
      </c>
      <c r="F116" s="36" t="s">
        <v>275</v>
      </c>
      <c r="G116" s="37" t="s">
        <v>680</v>
      </c>
      <c r="H116" s="92">
        <v>1981</v>
      </c>
      <c r="I116" s="192" t="s">
        <v>555</v>
      </c>
      <c r="J116" s="35" t="s">
        <v>108</v>
      </c>
      <c r="K116" s="103">
        <v>68.900000000000006</v>
      </c>
      <c r="L116" s="38">
        <v>96</v>
      </c>
      <c r="M116" s="39">
        <v>103</v>
      </c>
      <c r="N116" s="39">
        <v>-107</v>
      </c>
      <c r="O116" s="54">
        <f t="shared" si="167"/>
        <v>103</v>
      </c>
      <c r="P116" s="53">
        <v>-117</v>
      </c>
      <c r="Q116" s="53">
        <v>117</v>
      </c>
      <c r="R116" s="53">
        <v>122</v>
      </c>
      <c r="S116" s="54">
        <f t="shared" si="168"/>
        <v>122</v>
      </c>
      <c r="T116" s="55">
        <f t="shared" si="169"/>
        <v>225</v>
      </c>
      <c r="U116" s="56" t="str">
        <f t="shared" si="170"/>
        <v>FED + 0</v>
      </c>
      <c r="V116" s="86" t="str">
        <f>IF(E116=0," ",IF(E116="H",IF(OR(E116="SEN",H116&lt;1998),VLOOKUP(K116,Minimas!$A$11:$G$29,6),IF(AND(H116&gt;1997,H116&lt;2001),VLOOKUP(K116,Minimas!$A$11:$G$29,5),IF(AND(H116&gt;2000,H116&lt;2003),VLOOKUP(K116,Minimas!$A$11:$G$29,4),IF(AND(H116&gt;2002,H116&lt;2005),VLOOKUP(K116,Minimas!$A$11:$G$29,3),VLOOKUP(K116,Minimas!$A$11:$G$29,2))))),IF(OR(H116="SEN",H116&lt;1998),VLOOKUP(K116,Minimas!$G$11:$L$26,6),IF(AND(H116&gt;1997,H116&lt;2001),VLOOKUP(K116,Minimas!$G$11:$L$26,5),IF(AND(H116&gt;2000,H116&lt;2003),VLOOKUP(K116,Minimas!$G$11:$L$26,4),IF(AND(H116&gt;2002,H116&lt;2005),VLOOKUP(K116,Minimas!$G$11:$L$26,3),VLOOKUP(K116,Minimas!$G$11:$L$26,2)))))))</f>
        <v>S 69</v>
      </c>
      <c r="W116" s="62">
        <f t="shared" si="171"/>
        <v>299.3488353324355</v>
      </c>
      <c r="X116" s="63"/>
      <c r="Y116" s="157" t="s">
        <v>131</v>
      </c>
      <c r="AB116" s="90">
        <f>T116-HLOOKUP(V116,Minimas!$C$1:$BN$10,2,FALSE)</f>
        <v>95</v>
      </c>
      <c r="AC116" s="90">
        <f>T116-HLOOKUP(V116,Minimas!$C$1:$BN$10,3,FALSE)</f>
        <v>75</v>
      </c>
      <c r="AD116" s="90">
        <f>T116-HLOOKUP(V116,Minimas!$C$1:$BN$10,4,FALSE)</f>
        <v>55</v>
      </c>
      <c r="AE116" s="90">
        <f>T116-HLOOKUP(V116,Minimas!$C$1:$BN$10,5,FALSE)</f>
        <v>30</v>
      </c>
      <c r="AF116" s="90">
        <f>T116-HLOOKUP(V116,Minimas!$C$1:$BN$10,6,FALSE)</f>
        <v>0</v>
      </c>
      <c r="AG116" s="90">
        <f>T116-HLOOKUP(V116,Minimas!$C$1:$BN$10,7,FALSE)</f>
        <v>-15</v>
      </c>
      <c r="AH116" s="90">
        <f>T116-HLOOKUP(V116,Minimas!$C$1:$BN$10,8,FALSE)</f>
        <v>-35</v>
      </c>
      <c r="AI116" s="90">
        <f>T116-HLOOKUP(V116,Minimas!$C$1:$BN$10,9,FALSE)</f>
        <v>-50</v>
      </c>
      <c r="AJ116" s="90">
        <f>T116-HLOOKUP(V116,Minimas!$C$1:$BN$10,10,FALSE)</f>
        <v>-65</v>
      </c>
      <c r="AK116" s="91" t="str">
        <f t="shared" si="172"/>
        <v>FED +</v>
      </c>
      <c r="AM116" s="5" t="str">
        <f t="shared" si="173"/>
        <v>FED +</v>
      </c>
      <c r="AN116" s="5">
        <f t="shared" si="174"/>
        <v>0</v>
      </c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</row>
    <row r="117" spans="1:123" s="5" customFormat="1" ht="27.95" customHeight="1" x14ac:dyDescent="0.2">
      <c r="B117" s="148" t="s">
        <v>525</v>
      </c>
      <c r="C117" s="161">
        <v>466297</v>
      </c>
      <c r="D117" s="92">
        <v>10</v>
      </c>
      <c r="E117" s="84" t="s">
        <v>70</v>
      </c>
      <c r="F117" s="36" t="s">
        <v>276</v>
      </c>
      <c r="G117" s="37" t="s">
        <v>681</v>
      </c>
      <c r="H117" s="92">
        <v>1995</v>
      </c>
      <c r="I117" s="192" t="s">
        <v>567</v>
      </c>
      <c r="J117" s="35" t="s">
        <v>108</v>
      </c>
      <c r="K117" s="103">
        <v>69</v>
      </c>
      <c r="L117" s="38">
        <v>100</v>
      </c>
      <c r="M117" s="39">
        <v>105</v>
      </c>
      <c r="N117" s="39">
        <v>108</v>
      </c>
      <c r="O117" s="54">
        <f t="shared" si="167"/>
        <v>108</v>
      </c>
      <c r="P117" s="53">
        <v>117</v>
      </c>
      <c r="Q117" s="53">
        <v>0</v>
      </c>
      <c r="R117" s="53">
        <v>0</v>
      </c>
      <c r="S117" s="54">
        <f t="shared" si="168"/>
        <v>117</v>
      </c>
      <c r="T117" s="55">
        <f t="shared" si="169"/>
        <v>225</v>
      </c>
      <c r="U117" s="56" t="str">
        <f t="shared" si="170"/>
        <v>FED + 0</v>
      </c>
      <c r="V117" s="86" t="str">
        <f>IF(E117=0," ",IF(E117="H",IF(OR(E117="SEN",H117&lt;1998),VLOOKUP(K117,Minimas!$A$11:$G$29,6),IF(AND(H117&gt;1997,H117&lt;2001),VLOOKUP(K117,Minimas!$A$11:$G$29,5),IF(AND(H117&gt;2000,H117&lt;2003),VLOOKUP(K117,Minimas!$A$11:$G$29,4),IF(AND(H117&gt;2002,H117&lt;2005),VLOOKUP(K117,Minimas!$A$11:$G$29,3),VLOOKUP(K117,Minimas!$A$11:$G$29,2))))),IF(OR(H117="SEN",H117&lt;1998),VLOOKUP(K117,Minimas!$G$11:$L$26,6),IF(AND(H117&gt;1997,H117&lt;2001),VLOOKUP(K117,Minimas!$G$11:$L$26,5),IF(AND(H117&gt;2000,H117&lt;2003),VLOOKUP(K117,Minimas!$G$11:$L$26,4),IF(AND(H117&gt;2002,H117&lt;2005),VLOOKUP(K117,Minimas!$G$11:$L$26,3),VLOOKUP(K117,Minimas!$G$11:$L$26,2)))))))</f>
        <v>S 69</v>
      </c>
      <c r="W117" s="62">
        <f t="shared" si="171"/>
        <v>299.08402221844824</v>
      </c>
      <c r="X117" s="63"/>
      <c r="Y117" s="157" t="s">
        <v>131</v>
      </c>
      <c r="AB117" s="90">
        <f>T117-HLOOKUP(V117,Minimas!$C$1:$BN$10,2,FALSE)</f>
        <v>95</v>
      </c>
      <c r="AC117" s="90">
        <f>T117-HLOOKUP(V117,Minimas!$C$1:$BN$10,3,FALSE)</f>
        <v>75</v>
      </c>
      <c r="AD117" s="90">
        <f>T117-HLOOKUP(V117,Minimas!$C$1:$BN$10,4,FALSE)</f>
        <v>55</v>
      </c>
      <c r="AE117" s="90">
        <f>T117-HLOOKUP(V117,Minimas!$C$1:$BN$10,5,FALSE)</f>
        <v>30</v>
      </c>
      <c r="AF117" s="90">
        <f>T117-HLOOKUP(V117,Minimas!$C$1:$BN$10,6,FALSE)</f>
        <v>0</v>
      </c>
      <c r="AG117" s="90">
        <f>T117-HLOOKUP(V117,Minimas!$C$1:$BN$10,7,FALSE)</f>
        <v>-15</v>
      </c>
      <c r="AH117" s="90">
        <f>T117-HLOOKUP(V117,Minimas!$C$1:$BN$10,8,FALSE)</f>
        <v>-35</v>
      </c>
      <c r="AI117" s="90">
        <f>T117-HLOOKUP(V117,Minimas!$C$1:$BN$10,9,FALSE)</f>
        <v>-50</v>
      </c>
      <c r="AJ117" s="90">
        <f>T117-HLOOKUP(V117,Minimas!$C$1:$BN$10,10,FALSE)</f>
        <v>-65</v>
      </c>
      <c r="AK117" s="91" t="str">
        <f t="shared" si="172"/>
        <v>FED +</v>
      </c>
      <c r="AM117" s="5" t="str">
        <f t="shared" si="173"/>
        <v>FED +</v>
      </c>
      <c r="AN117" s="5">
        <f t="shared" si="174"/>
        <v>0</v>
      </c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</row>
    <row r="118" spans="1:123" s="5" customFormat="1" ht="27.95" customHeight="1" thickBot="1" x14ac:dyDescent="0.25">
      <c r="B118" s="148" t="s">
        <v>120</v>
      </c>
      <c r="C118" s="161">
        <v>75095</v>
      </c>
      <c r="D118" s="92">
        <v>11</v>
      </c>
      <c r="E118" s="84" t="s">
        <v>70</v>
      </c>
      <c r="F118" s="36" t="s">
        <v>274</v>
      </c>
      <c r="G118" s="37" t="s">
        <v>262</v>
      </c>
      <c r="H118" s="92">
        <v>1992</v>
      </c>
      <c r="I118" s="192" t="s">
        <v>513</v>
      </c>
      <c r="J118" s="35" t="s">
        <v>108</v>
      </c>
      <c r="K118" s="103">
        <v>68.98</v>
      </c>
      <c r="L118" s="38">
        <v>98</v>
      </c>
      <c r="M118" s="39">
        <v>-102</v>
      </c>
      <c r="N118" s="39">
        <v>102</v>
      </c>
      <c r="O118" s="54">
        <f t="shared" si="167"/>
        <v>102</v>
      </c>
      <c r="P118" s="53">
        <v>123</v>
      </c>
      <c r="Q118" s="53" t="s">
        <v>126</v>
      </c>
      <c r="R118" s="53" t="s">
        <v>126</v>
      </c>
      <c r="S118" s="54">
        <f t="shared" si="168"/>
        <v>123</v>
      </c>
      <c r="T118" s="55">
        <f t="shared" si="169"/>
        <v>225</v>
      </c>
      <c r="U118" s="56" t="str">
        <f t="shared" si="170"/>
        <v>FED + 0</v>
      </c>
      <c r="V118" s="86" t="str">
        <f>IF(E118=0," ",IF(E118="H",IF(OR(E118="SEN",H118&lt;1998),VLOOKUP(K118,Minimas!$A$11:$G$29,6),IF(AND(H118&gt;1997,H118&lt;2001),VLOOKUP(K118,Minimas!$A$11:$G$29,5),IF(AND(H118&gt;2000,H118&lt;2003),VLOOKUP(K118,Minimas!$A$11:$G$29,4),IF(AND(H118&gt;2002,H118&lt;2005),VLOOKUP(K118,Minimas!$A$11:$G$29,3),VLOOKUP(K118,Minimas!$A$11:$G$29,2))))),IF(OR(H118="SEN",H118&lt;1998),VLOOKUP(K118,Minimas!$G$11:$L$26,6),IF(AND(H118&gt;1997,H118&lt;2001),VLOOKUP(K118,Minimas!$G$11:$L$26,5),IF(AND(H118&gt;2000,H118&lt;2003),VLOOKUP(K118,Minimas!$G$11:$L$26,4),IF(AND(H118&gt;2002,H118&lt;2005),VLOOKUP(K118,Minimas!$G$11:$L$26,3),VLOOKUP(K118,Minimas!$G$11:$L$26,2)))))))</f>
        <v>S 69</v>
      </c>
      <c r="W118" s="62">
        <f t="shared" si="171"/>
        <v>299.13690252281526</v>
      </c>
      <c r="X118" s="63"/>
      <c r="Y118" s="155" t="s">
        <v>441</v>
      </c>
      <c r="AB118" s="90">
        <f>T118-HLOOKUP(V118,Minimas!$C$1:$BN$10,2,FALSE)</f>
        <v>95</v>
      </c>
      <c r="AC118" s="90">
        <f>T118-HLOOKUP(V118,Minimas!$C$1:$BN$10,3,FALSE)</f>
        <v>75</v>
      </c>
      <c r="AD118" s="90">
        <f>T118-HLOOKUP(V118,Minimas!$C$1:$BN$10,4,FALSE)</f>
        <v>55</v>
      </c>
      <c r="AE118" s="90">
        <f>T118-HLOOKUP(V118,Minimas!$C$1:$BN$10,5,FALSE)</f>
        <v>30</v>
      </c>
      <c r="AF118" s="90">
        <f>T118-HLOOKUP(V118,Minimas!$C$1:$BN$10,6,FALSE)</f>
        <v>0</v>
      </c>
      <c r="AG118" s="90">
        <f>T118-HLOOKUP(V118,Minimas!$C$1:$BN$10,7,FALSE)</f>
        <v>-15</v>
      </c>
      <c r="AH118" s="90">
        <f>T118-HLOOKUP(V118,Minimas!$C$1:$BN$10,8,FALSE)</f>
        <v>-35</v>
      </c>
      <c r="AI118" s="90">
        <f>T118-HLOOKUP(V118,Minimas!$C$1:$BN$10,9,FALSE)</f>
        <v>-50</v>
      </c>
      <c r="AJ118" s="90">
        <f>T118-HLOOKUP(V118,Minimas!$C$1:$BN$10,10,FALSE)</f>
        <v>-65</v>
      </c>
      <c r="AK118" s="91" t="str">
        <f t="shared" si="172"/>
        <v>FED +</v>
      </c>
      <c r="AM118" s="5" t="str">
        <f t="shared" si="173"/>
        <v>FED +</v>
      </c>
      <c r="AN118" s="5">
        <f t="shared" si="174"/>
        <v>0</v>
      </c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  <c r="BW118" s="97"/>
      <c r="BX118" s="97"/>
    </row>
    <row r="119" spans="1:123" s="11" customFormat="1" ht="5.0999999999999996" customHeight="1" thickBot="1" x14ac:dyDescent="0.25">
      <c r="A119" s="8"/>
      <c r="B119" s="147"/>
      <c r="C119" s="160"/>
      <c r="D119" s="41"/>
      <c r="E119" s="41"/>
      <c r="F119" s="42"/>
      <c r="G119" s="43"/>
      <c r="H119" s="44"/>
      <c r="I119" s="193"/>
      <c r="J119" s="40"/>
      <c r="K119" s="101"/>
      <c r="L119" s="45"/>
      <c r="M119" s="45"/>
      <c r="N119" s="45"/>
      <c r="O119" s="46"/>
      <c r="P119" s="45"/>
      <c r="Q119" s="45"/>
      <c r="R119" s="45"/>
      <c r="S119" s="46"/>
      <c r="T119" s="46"/>
      <c r="U119" s="41"/>
      <c r="V119" s="48"/>
      <c r="W119" s="47"/>
      <c r="X119" s="7"/>
      <c r="Y119" s="154"/>
      <c r="Z119" s="7"/>
      <c r="AA119" s="7"/>
      <c r="AB119" s="89" t="s">
        <v>60</v>
      </c>
      <c r="AC119" s="89" t="s">
        <v>61</v>
      </c>
      <c r="AD119" s="89" t="s">
        <v>62</v>
      </c>
      <c r="AE119" s="89" t="s">
        <v>63</v>
      </c>
      <c r="AF119" s="89" t="s">
        <v>64</v>
      </c>
      <c r="AG119" s="89" t="s">
        <v>65</v>
      </c>
      <c r="AH119" s="89" t="s">
        <v>66</v>
      </c>
      <c r="AI119" s="89" t="s">
        <v>67</v>
      </c>
      <c r="AJ119" s="89" t="s">
        <v>68</v>
      </c>
      <c r="AK119" s="89"/>
      <c r="AL119" s="7"/>
      <c r="AM119" s="7"/>
      <c r="AN119" s="7"/>
      <c r="AO119" s="7"/>
      <c r="AP119" s="7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</row>
    <row r="120" spans="1:123" s="5" customFormat="1" ht="27.95" customHeight="1" x14ac:dyDescent="0.2">
      <c r="B120" s="148" t="s">
        <v>120</v>
      </c>
      <c r="C120" s="161">
        <v>359842</v>
      </c>
      <c r="D120" s="92">
        <v>1</v>
      </c>
      <c r="E120" s="84" t="s">
        <v>70</v>
      </c>
      <c r="F120" s="36" t="s">
        <v>277</v>
      </c>
      <c r="G120" s="37" t="s">
        <v>278</v>
      </c>
      <c r="H120" s="92">
        <v>1997</v>
      </c>
      <c r="I120" s="192" t="s">
        <v>137</v>
      </c>
      <c r="J120" s="35" t="s">
        <v>108</v>
      </c>
      <c r="K120" s="103">
        <v>74.2</v>
      </c>
      <c r="L120" s="38">
        <v>115</v>
      </c>
      <c r="M120" s="39">
        <v>-120</v>
      </c>
      <c r="N120" s="39">
        <v>120</v>
      </c>
      <c r="O120" s="54">
        <f t="shared" si="43"/>
        <v>120</v>
      </c>
      <c r="P120" s="53">
        <v>-140</v>
      </c>
      <c r="Q120" s="53">
        <v>141</v>
      </c>
      <c r="R120" s="53">
        <v>-146</v>
      </c>
      <c r="S120" s="54">
        <f t="shared" si="44"/>
        <v>141</v>
      </c>
      <c r="T120" s="55">
        <f t="shared" si="45"/>
        <v>261</v>
      </c>
      <c r="U120" s="56" t="str">
        <f t="shared" si="46"/>
        <v>FED + 16</v>
      </c>
      <c r="V120" s="86" t="str">
        <f>IF(E120=0," ",IF(E120="H",IF(OR(E120="SEN",H120&lt;1998),VLOOKUP(K120,Minimas!$A$11:$G$29,6),IF(AND(H120&gt;1997,H120&lt;2001),VLOOKUP(K120,Minimas!$A$11:$G$29,5),IF(AND(H120&gt;2000,H120&lt;2003),VLOOKUP(K120,Minimas!$A$11:$G$29,4),IF(AND(H120&gt;2002,H120&lt;2005),VLOOKUP(K120,Minimas!$A$11:$G$29,3),VLOOKUP(K120,Minimas!$A$11:$G$29,2))))),IF(OR(H120="SEN",H120&lt;1998),VLOOKUP(K120,Minimas!$G$11:$L$26,6),IF(AND(H120&gt;1997,H120&lt;2001),VLOOKUP(K120,Minimas!$G$11:$L$26,5),IF(AND(H120&gt;2000,H120&lt;2003),VLOOKUP(K120,Minimas!$G$11:$L$26,4),IF(AND(H120&gt;2002,H120&lt;2005),VLOOKUP(K120,Minimas!$G$11:$L$26,3),VLOOKUP(K120,Minimas!$G$11:$L$26,2)))))))</f>
        <v>S 77</v>
      </c>
      <c r="W120" s="62">
        <f t="shared" si="47"/>
        <v>332.47531259904986</v>
      </c>
      <c r="X120" s="63"/>
      <c r="Y120" s="157" t="s">
        <v>131</v>
      </c>
      <c r="AB120" s="90">
        <f>T120-HLOOKUP(V120,Minimas!$C$1:$BN$10,2,FALSE)</f>
        <v>111</v>
      </c>
      <c r="AC120" s="90">
        <f>T120-HLOOKUP(V120,Minimas!$C$1:$BN$10,3,FALSE)</f>
        <v>91</v>
      </c>
      <c r="AD120" s="90">
        <f>T120-HLOOKUP(V120,Minimas!$C$1:$BN$10,4,FALSE)</f>
        <v>71</v>
      </c>
      <c r="AE120" s="90">
        <f>T120-HLOOKUP(V120,Minimas!$C$1:$BN$10,5,FALSE)</f>
        <v>46</v>
      </c>
      <c r="AF120" s="90">
        <f>T120-HLOOKUP(V120,Minimas!$C$1:$BN$10,6,FALSE)</f>
        <v>16</v>
      </c>
      <c r="AG120" s="90">
        <f>T120-HLOOKUP(V120,Minimas!$C$1:$BN$10,7,FALSE)</f>
        <v>-4</v>
      </c>
      <c r="AH120" s="90">
        <f>T120-HLOOKUP(V120,Minimas!$C$1:$BN$10,8,FALSE)</f>
        <v>-24</v>
      </c>
      <c r="AI120" s="90">
        <f>T120-HLOOKUP(V120,Minimas!$C$1:$BN$10,9,FALSE)</f>
        <v>-44</v>
      </c>
      <c r="AJ120" s="90">
        <f>T120-HLOOKUP(V120,Minimas!$C$1:$BN$10,10,FALSE)</f>
        <v>-59</v>
      </c>
      <c r="AK120" s="91" t="str">
        <f t="shared" ref="AK120:AK131" si="175">IF(E120=0," ",IF(AJ120&gt;=0,$AJ$5,IF(AI120&gt;=0,$AI$5,IF(AH120&gt;=0,$AH$5,IF(AG120&gt;=0,$AG$5,IF(AF120&gt;=0,$AF$5,IF(AE120&gt;=0,$AE$5,IF(AD120&gt;=0,$AD$5,IF(AC120&gt;=0,$AC$5,$AB$5)))))))))</f>
        <v>FED +</v>
      </c>
      <c r="AM120" s="5" t="str">
        <f t="shared" si="48"/>
        <v>FED +</v>
      </c>
      <c r="AN120" s="5">
        <f t="shared" si="49"/>
        <v>16</v>
      </c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</row>
    <row r="121" spans="1:123" s="5" customFormat="1" ht="27.95" customHeight="1" x14ac:dyDescent="0.2">
      <c r="B121" s="148" t="s">
        <v>134</v>
      </c>
      <c r="C121" s="161">
        <v>429857</v>
      </c>
      <c r="D121" s="92">
        <v>2</v>
      </c>
      <c r="E121" s="84" t="s">
        <v>70</v>
      </c>
      <c r="F121" s="36" t="s">
        <v>279</v>
      </c>
      <c r="G121" s="37" t="s">
        <v>519</v>
      </c>
      <c r="H121" s="92">
        <v>1988</v>
      </c>
      <c r="I121" s="192" t="s">
        <v>568</v>
      </c>
      <c r="J121" s="35" t="s">
        <v>108</v>
      </c>
      <c r="K121" s="103">
        <v>76.58</v>
      </c>
      <c r="L121" s="38">
        <v>103</v>
      </c>
      <c r="M121" s="39">
        <v>110</v>
      </c>
      <c r="N121" s="39">
        <v>115</v>
      </c>
      <c r="O121" s="54">
        <f t="shared" si="43"/>
        <v>115</v>
      </c>
      <c r="P121" s="53">
        <v>130</v>
      </c>
      <c r="Q121" s="53">
        <v>140</v>
      </c>
      <c r="R121" s="53" t="s">
        <v>126</v>
      </c>
      <c r="S121" s="54">
        <f t="shared" si="44"/>
        <v>140</v>
      </c>
      <c r="T121" s="55">
        <f t="shared" si="45"/>
        <v>255</v>
      </c>
      <c r="U121" s="56" t="str">
        <f t="shared" si="46"/>
        <v>FED + 10</v>
      </c>
      <c r="V121" s="86" t="str">
        <f>IF(E121=0," ",IF(E121="H",IF(OR(E121="SEN",H121&lt;1998),VLOOKUP(K121,Minimas!$A$11:$G$29,6),IF(AND(H121&gt;1997,H121&lt;2001),VLOOKUP(K121,Minimas!$A$11:$G$29,5),IF(AND(H121&gt;2000,H121&lt;2003),VLOOKUP(K121,Minimas!$A$11:$G$29,4),IF(AND(H121&gt;2002,H121&lt;2005),VLOOKUP(K121,Minimas!$A$11:$G$29,3),VLOOKUP(K121,Minimas!$A$11:$G$29,2))))),IF(OR(H121="SEN",H121&lt;1998),VLOOKUP(K121,Minimas!$G$11:$L$26,6),IF(AND(H121&gt;1997,H121&lt;2001),VLOOKUP(K121,Minimas!$G$11:$L$26,5),IF(AND(H121&gt;2000,H121&lt;2003),VLOOKUP(K121,Minimas!$G$11:$L$26,4),IF(AND(H121&gt;2002,H121&lt;2005),VLOOKUP(K121,Minimas!$G$11:$L$26,3),VLOOKUP(K121,Minimas!$G$11:$L$26,2)))))))</f>
        <v>S 77</v>
      </c>
      <c r="W121" s="62">
        <f t="shared" si="47"/>
        <v>319.22035423414741</v>
      </c>
      <c r="X121" s="63"/>
      <c r="Y121" s="157" t="s">
        <v>131</v>
      </c>
      <c r="AB121" s="90">
        <f>T121-HLOOKUP(V121,Minimas!$C$1:$BN$10,2,FALSE)</f>
        <v>105</v>
      </c>
      <c r="AC121" s="90">
        <f>T121-HLOOKUP(V121,Minimas!$C$1:$BN$10,3,FALSE)</f>
        <v>85</v>
      </c>
      <c r="AD121" s="90">
        <f>T121-HLOOKUP(V121,Minimas!$C$1:$BN$10,4,FALSE)</f>
        <v>65</v>
      </c>
      <c r="AE121" s="90">
        <f>T121-HLOOKUP(V121,Minimas!$C$1:$BN$10,5,FALSE)</f>
        <v>40</v>
      </c>
      <c r="AF121" s="90">
        <f>T121-HLOOKUP(V121,Minimas!$C$1:$BN$10,6,FALSE)</f>
        <v>10</v>
      </c>
      <c r="AG121" s="90">
        <f>T121-HLOOKUP(V121,Minimas!$C$1:$BN$10,7,FALSE)</f>
        <v>-10</v>
      </c>
      <c r="AH121" s="90">
        <f>T121-HLOOKUP(V121,Minimas!$C$1:$BN$10,8,FALSE)</f>
        <v>-30</v>
      </c>
      <c r="AI121" s="90">
        <f>T121-HLOOKUP(V121,Minimas!$C$1:$BN$10,9,FALSE)</f>
        <v>-50</v>
      </c>
      <c r="AJ121" s="90">
        <f>T121-HLOOKUP(V121,Minimas!$C$1:$BN$10,10,FALSE)</f>
        <v>-65</v>
      </c>
      <c r="AK121" s="91" t="str">
        <f t="shared" si="175"/>
        <v>FED +</v>
      </c>
      <c r="AM121" s="5" t="str">
        <f t="shared" si="48"/>
        <v>FED +</v>
      </c>
      <c r="AN121" s="5">
        <f t="shared" si="49"/>
        <v>10</v>
      </c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97"/>
    </row>
    <row r="122" spans="1:123" s="5" customFormat="1" ht="27.95" customHeight="1" x14ac:dyDescent="0.2">
      <c r="B122" s="148" t="s">
        <v>124</v>
      </c>
      <c r="C122" s="161">
        <v>183839</v>
      </c>
      <c r="D122" s="92">
        <v>3</v>
      </c>
      <c r="E122" s="84" t="s">
        <v>70</v>
      </c>
      <c r="F122" s="36" t="s">
        <v>515</v>
      </c>
      <c r="G122" s="37" t="s">
        <v>502</v>
      </c>
      <c r="H122" s="92">
        <v>1995</v>
      </c>
      <c r="I122" s="192" t="s">
        <v>544</v>
      </c>
      <c r="J122" s="35" t="s">
        <v>108</v>
      </c>
      <c r="K122" s="103">
        <v>76.599999999999994</v>
      </c>
      <c r="L122" s="38">
        <v>110</v>
      </c>
      <c r="M122" s="39">
        <v>114</v>
      </c>
      <c r="N122" s="39">
        <v>-118</v>
      </c>
      <c r="O122" s="54">
        <f>IF(E122="","",IF(MAXA(L122:N122)&lt;=0,0,MAXA(L122:N122)))</f>
        <v>114</v>
      </c>
      <c r="P122" s="53">
        <v>131</v>
      </c>
      <c r="Q122" s="53">
        <v>-136</v>
      </c>
      <c r="R122" s="53">
        <v>136</v>
      </c>
      <c r="S122" s="54">
        <f>IF(E122="","",IF(MAXA(P122:R122)&lt;=0,0,MAXA(P122:R122)))</f>
        <v>136</v>
      </c>
      <c r="T122" s="55">
        <f>IF(E122="","",IF(OR(O122=0,S122=0),0,O122+S122))</f>
        <v>250</v>
      </c>
      <c r="U122" s="56" t="str">
        <f>+CONCATENATE(AM122," ",AN122)</f>
        <v>FED + 5</v>
      </c>
      <c r="V122" s="86" t="str">
        <f>IF(E122=0," ",IF(E122="H",IF(OR(E122="SEN",H122&lt;1998),VLOOKUP(K122,Minimas!$A$11:$G$29,6),IF(AND(H122&gt;1997,H122&lt;2001),VLOOKUP(K122,Minimas!$A$11:$G$29,5),IF(AND(H122&gt;2000,H122&lt;2003),VLOOKUP(K122,Minimas!$A$11:$G$29,4),IF(AND(H122&gt;2002,H122&lt;2005),VLOOKUP(K122,Minimas!$A$11:$G$29,3),VLOOKUP(K122,Minimas!$A$11:$G$29,2))))),IF(OR(H122="SEN",H122&lt;1998),VLOOKUP(K122,Minimas!$G$11:$L$26,6),IF(AND(H122&gt;1997,H122&lt;2001),VLOOKUP(K122,Minimas!$G$11:$L$26,5),IF(AND(H122&gt;2000,H122&lt;2003),VLOOKUP(K122,Minimas!$G$11:$L$26,4),IF(AND(H122&gt;2002,H122&lt;2005),VLOOKUP(K122,Minimas!$G$11:$L$26,3),VLOOKUP(K122,Minimas!$G$11:$L$26,2)))))))</f>
        <v>S 77</v>
      </c>
      <c r="W122" s="62">
        <f>IF(E122=" "," ",IF(E122="H",10^(0.75194503*LOG(K122/175.508)^2)*T122,IF(E122="F",10^(0.783497476* LOG(K122/153.655)^2)*T122,"")))</f>
        <v>312.91687410972463</v>
      </c>
      <c r="X122" s="63"/>
      <c r="Y122" s="155" t="s">
        <v>441</v>
      </c>
      <c r="AB122" s="90">
        <f>T122-HLOOKUP(V122,Minimas!$C$1:$BN$10,2,FALSE)</f>
        <v>100</v>
      </c>
      <c r="AC122" s="90">
        <f>T122-HLOOKUP(V122,Minimas!$C$1:$BN$10,3,FALSE)</f>
        <v>80</v>
      </c>
      <c r="AD122" s="90">
        <f>T122-HLOOKUP(V122,Minimas!$C$1:$BN$10,4,FALSE)</f>
        <v>60</v>
      </c>
      <c r="AE122" s="90">
        <f>T122-HLOOKUP(V122,Minimas!$C$1:$BN$10,5,FALSE)</f>
        <v>35</v>
      </c>
      <c r="AF122" s="90">
        <f>T122-HLOOKUP(V122,Minimas!$C$1:$BN$10,6,FALSE)</f>
        <v>5</v>
      </c>
      <c r="AG122" s="90">
        <f>T122-HLOOKUP(V122,Minimas!$C$1:$BN$10,7,FALSE)</f>
        <v>-15</v>
      </c>
      <c r="AH122" s="90">
        <f>T122-HLOOKUP(V122,Minimas!$C$1:$BN$10,8,FALSE)</f>
        <v>-35</v>
      </c>
      <c r="AI122" s="90">
        <f>T122-HLOOKUP(V122,Minimas!$C$1:$BN$10,9,FALSE)</f>
        <v>-55</v>
      </c>
      <c r="AJ122" s="90">
        <f>T122-HLOOKUP(V122,Minimas!$C$1:$BN$10,10,FALSE)</f>
        <v>-70</v>
      </c>
      <c r="AK122" s="91" t="str">
        <f t="shared" si="175"/>
        <v>FED +</v>
      </c>
      <c r="AM122" s="5" t="str">
        <f>IF(AK122="","",AK122)</f>
        <v>FED +</v>
      </c>
      <c r="AN122" s="5">
        <f>IF(E122=0," ",IF(AJ122&gt;=0,AJ122,IF(AI122&gt;=0,AI122,IF(AH122&gt;=0,AH122,IF(AG122&gt;=0,AG122,IF(AF122&gt;=0,AF122,IF(AE122&gt;=0,AE122,IF(AD122&gt;=0,AD122,IF(AC122&gt;=0,AC122,AB122)))))))))</f>
        <v>5</v>
      </c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/>
      <c r="BX122" s="97"/>
    </row>
    <row r="123" spans="1:123" s="5" customFormat="1" ht="27.95" customHeight="1" x14ac:dyDescent="0.2">
      <c r="B123" s="148" t="s">
        <v>432</v>
      </c>
      <c r="C123" s="161">
        <v>422160</v>
      </c>
      <c r="D123" s="92">
        <v>4</v>
      </c>
      <c r="E123" s="84" t="s">
        <v>70</v>
      </c>
      <c r="F123" s="36" t="s">
        <v>435</v>
      </c>
      <c r="G123" s="37" t="s">
        <v>436</v>
      </c>
      <c r="H123" s="92">
        <v>1992</v>
      </c>
      <c r="I123" s="192" t="s">
        <v>569</v>
      </c>
      <c r="J123" s="35" t="s">
        <v>108</v>
      </c>
      <c r="K123" s="103">
        <v>76.5</v>
      </c>
      <c r="L123" s="38">
        <v>-110</v>
      </c>
      <c r="M123" s="39">
        <v>110</v>
      </c>
      <c r="N123" s="39">
        <v>-116</v>
      </c>
      <c r="O123" s="54">
        <f t="shared" ref="O123" si="176">IF(E123="","",IF(MAXA(L123:N123)&lt;=0,0,MAXA(L123:N123)))</f>
        <v>110</v>
      </c>
      <c r="P123" s="53">
        <v>130</v>
      </c>
      <c r="Q123" s="53">
        <v>-136</v>
      </c>
      <c r="R123" s="53">
        <v>137</v>
      </c>
      <c r="S123" s="54">
        <f t="shared" ref="S123" si="177">IF(E123="","",IF(MAXA(P123:R123)&lt;=0,0,MAXA(P123:R123)))</f>
        <v>137</v>
      </c>
      <c r="T123" s="55">
        <f t="shared" ref="T123" si="178">IF(E123="","",IF(OR(O123=0,S123=0),0,O123+S123))</f>
        <v>247</v>
      </c>
      <c r="U123" s="56" t="str">
        <f t="shared" ref="U123" si="179">+CONCATENATE(AM123," ",AN123)</f>
        <v>FED + 2</v>
      </c>
      <c r="V123" s="86" t="str">
        <f>IF(E123=0," ",IF(E123="H",IF(OR(E123="SEN",H123&lt;1998),VLOOKUP(K123,Minimas!$A$11:$G$29,6),IF(AND(H123&gt;1997,H123&lt;2001),VLOOKUP(K123,Minimas!$A$11:$G$29,5),IF(AND(H123&gt;2000,H123&lt;2003),VLOOKUP(K123,Minimas!$A$11:$G$29,4),IF(AND(H123&gt;2002,H123&lt;2005),VLOOKUP(K123,Minimas!$A$11:$G$29,3),VLOOKUP(K123,Minimas!$A$11:$G$29,2))))),IF(OR(H123="SEN",H123&lt;1998),VLOOKUP(K123,Minimas!$G$11:$L$26,6),IF(AND(H123&gt;1997,H123&lt;2001),VLOOKUP(K123,Minimas!$G$11:$L$26,5),IF(AND(H123&gt;2000,H123&lt;2003),VLOOKUP(K123,Minimas!$G$11:$L$26,4),IF(AND(H123&gt;2002,H123&lt;2005),VLOOKUP(K123,Minimas!$G$11:$L$26,3),VLOOKUP(K123,Minimas!$G$11:$L$26,2)))))))</f>
        <v>S 77</v>
      </c>
      <c r="W123" s="62">
        <f t="shared" ref="W123" si="180">IF(E123=" "," ",IF(E123="H",10^(0.75194503*LOG(K123/175.508)^2)*T123,IF(E123="F",10^(0.783497476* LOG(K123/153.655)^2)*T123,"")))</f>
        <v>309.38081778094124</v>
      </c>
      <c r="X123" s="63"/>
      <c r="Y123" s="156" t="s">
        <v>319</v>
      </c>
      <c r="AB123" s="90">
        <f>T123-HLOOKUP(V123,Minimas!$C$1:$BN$10,2,FALSE)</f>
        <v>97</v>
      </c>
      <c r="AC123" s="90">
        <f>T123-HLOOKUP(V123,Minimas!$C$1:$BN$10,3,FALSE)</f>
        <v>77</v>
      </c>
      <c r="AD123" s="90">
        <f>T123-HLOOKUP(V123,Minimas!$C$1:$BN$10,4,FALSE)</f>
        <v>57</v>
      </c>
      <c r="AE123" s="90">
        <f>T123-HLOOKUP(V123,Minimas!$C$1:$BN$10,5,FALSE)</f>
        <v>32</v>
      </c>
      <c r="AF123" s="90">
        <f>T123-HLOOKUP(V123,Minimas!$C$1:$BN$10,6,FALSE)</f>
        <v>2</v>
      </c>
      <c r="AG123" s="90">
        <f>T123-HLOOKUP(V123,Minimas!$C$1:$BN$10,7,FALSE)</f>
        <v>-18</v>
      </c>
      <c r="AH123" s="90">
        <f>T123-HLOOKUP(V123,Minimas!$C$1:$BN$10,8,FALSE)</f>
        <v>-38</v>
      </c>
      <c r="AI123" s="90">
        <f>T123-HLOOKUP(V123,Minimas!$C$1:$BN$10,9,FALSE)</f>
        <v>-58</v>
      </c>
      <c r="AJ123" s="90">
        <f>T123-HLOOKUP(V123,Minimas!$C$1:$BN$10,10,FALSE)</f>
        <v>-73</v>
      </c>
      <c r="AK123" s="91" t="str">
        <f t="shared" si="175"/>
        <v>FED +</v>
      </c>
      <c r="AM123" s="5" t="str">
        <f t="shared" ref="AM123" si="181">IF(AK123="","",AK123)</f>
        <v>FED +</v>
      </c>
      <c r="AN123" s="5">
        <f t="shared" ref="AN123" si="182">IF(E123=0," ",IF(AJ123&gt;=0,AJ123,IF(AI123&gt;=0,AI123,IF(AH123&gt;=0,AH123,IF(AG123&gt;=0,AG123,IF(AF123&gt;=0,AF123,IF(AE123&gt;=0,AE123,IF(AD123&gt;=0,AD123,IF(AC123&gt;=0,AC123,AB123)))))))))</f>
        <v>2</v>
      </c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</row>
    <row r="124" spans="1:123" s="5" customFormat="1" ht="27.95" customHeight="1" x14ac:dyDescent="0.2">
      <c r="B124" s="148" t="s">
        <v>123</v>
      </c>
      <c r="C124" s="161">
        <v>130700</v>
      </c>
      <c r="D124" s="92">
        <v>5</v>
      </c>
      <c r="E124" s="84" t="s">
        <v>70</v>
      </c>
      <c r="F124" s="36" t="s">
        <v>280</v>
      </c>
      <c r="G124" s="37" t="s">
        <v>682</v>
      </c>
      <c r="H124" s="92">
        <v>1989</v>
      </c>
      <c r="I124" s="192" t="s">
        <v>119</v>
      </c>
      <c r="J124" s="35" t="s">
        <v>108</v>
      </c>
      <c r="K124" s="103">
        <v>75.8</v>
      </c>
      <c r="L124" s="38">
        <v>103</v>
      </c>
      <c r="M124" s="39">
        <v>108</v>
      </c>
      <c r="N124" s="39">
        <v>-110</v>
      </c>
      <c r="O124" s="54">
        <f t="shared" si="43"/>
        <v>108</v>
      </c>
      <c r="P124" s="53">
        <v>127</v>
      </c>
      <c r="Q124" s="53">
        <v>137</v>
      </c>
      <c r="R124" s="53">
        <v>-140</v>
      </c>
      <c r="S124" s="54">
        <f t="shared" si="44"/>
        <v>137</v>
      </c>
      <c r="T124" s="55">
        <f t="shared" si="45"/>
        <v>245</v>
      </c>
      <c r="U124" s="56" t="str">
        <f t="shared" si="46"/>
        <v>FED + 0</v>
      </c>
      <c r="V124" s="86" t="str">
        <f>IF(E124=0," ",IF(E124="H",IF(OR(E124="SEN",H124&lt;1998),VLOOKUP(K124,Minimas!$A$11:$G$29,6),IF(AND(H124&gt;1997,H124&lt;2001),VLOOKUP(K124,Minimas!$A$11:$G$29,5),IF(AND(H124&gt;2000,H124&lt;2003),VLOOKUP(K124,Minimas!$A$11:$G$29,4),IF(AND(H124&gt;2002,H124&lt;2005),VLOOKUP(K124,Minimas!$A$11:$G$29,3),VLOOKUP(K124,Minimas!$A$11:$G$29,2))))),IF(OR(H124="SEN",H124&lt;1998),VLOOKUP(K124,Minimas!$G$11:$L$26,6),IF(AND(H124&gt;1997,H124&lt;2001),VLOOKUP(K124,Minimas!$G$11:$L$26,5),IF(AND(H124&gt;2000,H124&lt;2003),VLOOKUP(K124,Minimas!$G$11:$L$26,4),IF(AND(H124&gt;2002,H124&lt;2005),VLOOKUP(K124,Minimas!$G$11:$L$26,3),VLOOKUP(K124,Minimas!$G$11:$L$26,2)))))))</f>
        <v>S 77</v>
      </c>
      <c r="W124" s="62">
        <f t="shared" si="47"/>
        <v>308.41799442364197</v>
      </c>
      <c r="X124" s="63"/>
      <c r="Y124" s="157" t="s">
        <v>131</v>
      </c>
      <c r="AB124" s="90">
        <f>T124-HLOOKUP(V124,Minimas!$C$1:$BN$10,2,FALSE)</f>
        <v>95</v>
      </c>
      <c r="AC124" s="90">
        <f>T124-HLOOKUP(V124,Minimas!$C$1:$BN$10,3,FALSE)</f>
        <v>75</v>
      </c>
      <c r="AD124" s="90">
        <f>T124-HLOOKUP(V124,Minimas!$C$1:$BN$10,4,FALSE)</f>
        <v>55</v>
      </c>
      <c r="AE124" s="90">
        <f>T124-HLOOKUP(V124,Minimas!$C$1:$BN$10,5,FALSE)</f>
        <v>30</v>
      </c>
      <c r="AF124" s="90">
        <f>T124-HLOOKUP(V124,Minimas!$C$1:$BN$10,6,FALSE)</f>
        <v>0</v>
      </c>
      <c r="AG124" s="90">
        <f>T124-HLOOKUP(V124,Minimas!$C$1:$BN$10,7,FALSE)</f>
        <v>-20</v>
      </c>
      <c r="AH124" s="90">
        <f>T124-HLOOKUP(V124,Minimas!$C$1:$BN$10,8,FALSE)</f>
        <v>-40</v>
      </c>
      <c r="AI124" s="90">
        <f>T124-HLOOKUP(V124,Minimas!$C$1:$BN$10,9,FALSE)</f>
        <v>-60</v>
      </c>
      <c r="AJ124" s="90">
        <f>T124-HLOOKUP(V124,Minimas!$C$1:$BN$10,10,FALSE)</f>
        <v>-75</v>
      </c>
      <c r="AK124" s="91" t="str">
        <f t="shared" si="175"/>
        <v>FED +</v>
      </c>
      <c r="AM124" s="5" t="str">
        <f t="shared" si="48"/>
        <v>FED +</v>
      </c>
      <c r="AN124" s="5">
        <f t="shared" si="49"/>
        <v>0</v>
      </c>
      <c r="AQ124" s="97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7"/>
      <c r="BE124" s="97"/>
      <c r="BF124" s="97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7"/>
      <c r="BS124" s="97"/>
      <c r="BT124" s="97"/>
      <c r="BU124" s="97"/>
      <c r="BV124" s="97"/>
      <c r="BW124" s="97"/>
      <c r="BX124" s="97"/>
    </row>
    <row r="125" spans="1:123" s="5" customFormat="1" ht="27.95" customHeight="1" x14ac:dyDescent="0.2">
      <c r="B125" s="148" t="s">
        <v>138</v>
      </c>
      <c r="C125" s="161">
        <v>18972</v>
      </c>
      <c r="D125" s="92">
        <v>6</v>
      </c>
      <c r="E125" s="84" t="s">
        <v>70</v>
      </c>
      <c r="F125" s="36" t="s">
        <v>143</v>
      </c>
      <c r="G125" s="37" t="s">
        <v>281</v>
      </c>
      <c r="H125" s="92">
        <v>1990</v>
      </c>
      <c r="I125" s="192" t="s">
        <v>541</v>
      </c>
      <c r="J125" s="35" t="s">
        <v>108</v>
      </c>
      <c r="K125" s="103">
        <v>76.2</v>
      </c>
      <c r="L125" s="38">
        <v>105</v>
      </c>
      <c r="M125" s="39">
        <v>-110</v>
      </c>
      <c r="N125" s="39">
        <v>110</v>
      </c>
      <c r="O125" s="54">
        <f t="shared" si="43"/>
        <v>110</v>
      </c>
      <c r="P125" s="53">
        <v>130</v>
      </c>
      <c r="Q125" s="53">
        <v>135</v>
      </c>
      <c r="R125" s="53" t="s">
        <v>126</v>
      </c>
      <c r="S125" s="54">
        <f t="shared" si="44"/>
        <v>135</v>
      </c>
      <c r="T125" s="55">
        <f t="shared" si="45"/>
        <v>245</v>
      </c>
      <c r="U125" s="56" t="str">
        <f t="shared" si="46"/>
        <v>FED + 0</v>
      </c>
      <c r="V125" s="86" t="str">
        <f>IF(E125=0," ",IF(E125="H",IF(OR(E125="SEN",H125&lt;1998),VLOOKUP(K125,Minimas!$A$11:$G$29,6),IF(AND(H125&gt;1997,H125&lt;2001),VLOOKUP(K125,Minimas!$A$11:$G$29,5),IF(AND(H125&gt;2000,H125&lt;2003),VLOOKUP(K125,Minimas!$A$11:$G$29,4),IF(AND(H125&gt;2002,H125&lt;2005),VLOOKUP(K125,Minimas!$A$11:$G$29,3),VLOOKUP(K125,Minimas!$A$11:$G$29,2))))),IF(OR(H125="SEN",H125&lt;1998),VLOOKUP(K125,Minimas!$G$11:$L$26,6),IF(AND(H125&gt;1997,H125&lt;2001),VLOOKUP(K125,Minimas!$G$11:$L$26,5),IF(AND(H125&gt;2000,H125&lt;2003),VLOOKUP(K125,Minimas!$G$11:$L$26,4),IF(AND(H125&gt;2002,H125&lt;2005),VLOOKUP(K125,Minimas!$G$11:$L$26,3),VLOOKUP(K125,Minimas!$G$11:$L$26,2)))))))</f>
        <v>S 77</v>
      </c>
      <c r="W125" s="62">
        <f t="shared" si="47"/>
        <v>307.53193083370763</v>
      </c>
      <c r="X125" s="63"/>
      <c r="Y125" s="157" t="s">
        <v>131</v>
      </c>
      <c r="AB125" s="90">
        <f>T125-HLOOKUP(V125,Minimas!$C$1:$BN$10,2,FALSE)</f>
        <v>95</v>
      </c>
      <c r="AC125" s="90">
        <f>T125-HLOOKUP(V125,Minimas!$C$1:$BN$10,3,FALSE)</f>
        <v>75</v>
      </c>
      <c r="AD125" s="90">
        <f>T125-HLOOKUP(V125,Minimas!$C$1:$BN$10,4,FALSE)</f>
        <v>55</v>
      </c>
      <c r="AE125" s="90">
        <f>T125-HLOOKUP(V125,Minimas!$C$1:$BN$10,5,FALSE)</f>
        <v>30</v>
      </c>
      <c r="AF125" s="90">
        <f>T125-HLOOKUP(V125,Minimas!$C$1:$BN$10,6,FALSE)</f>
        <v>0</v>
      </c>
      <c r="AG125" s="90">
        <f>T125-HLOOKUP(V125,Minimas!$C$1:$BN$10,7,FALSE)</f>
        <v>-20</v>
      </c>
      <c r="AH125" s="90">
        <f>T125-HLOOKUP(V125,Minimas!$C$1:$BN$10,8,FALSE)</f>
        <v>-40</v>
      </c>
      <c r="AI125" s="90">
        <f>T125-HLOOKUP(V125,Minimas!$C$1:$BN$10,9,FALSE)</f>
        <v>-60</v>
      </c>
      <c r="AJ125" s="90">
        <f>T125-HLOOKUP(V125,Minimas!$C$1:$BN$10,10,FALSE)</f>
        <v>-75</v>
      </c>
      <c r="AK125" s="91" t="str">
        <f t="shared" si="175"/>
        <v>FED +</v>
      </c>
      <c r="AM125" s="5" t="str">
        <f t="shared" si="48"/>
        <v>FED +</v>
      </c>
      <c r="AN125" s="5">
        <f t="shared" si="49"/>
        <v>0</v>
      </c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  <c r="BW125" s="97"/>
      <c r="BX125" s="97"/>
    </row>
    <row r="126" spans="1:123" s="5" customFormat="1" ht="27.95" customHeight="1" x14ac:dyDescent="0.2">
      <c r="B126" s="148" t="s">
        <v>120</v>
      </c>
      <c r="C126" s="161">
        <v>166230</v>
      </c>
      <c r="D126" s="92">
        <v>7</v>
      </c>
      <c r="E126" s="84" t="s">
        <v>70</v>
      </c>
      <c r="F126" s="36" t="s">
        <v>282</v>
      </c>
      <c r="G126" s="37" t="s">
        <v>283</v>
      </c>
      <c r="H126" s="92">
        <v>1986</v>
      </c>
      <c r="I126" s="192" t="s">
        <v>249</v>
      </c>
      <c r="J126" s="35" t="s">
        <v>108</v>
      </c>
      <c r="K126" s="103">
        <v>76.5</v>
      </c>
      <c r="L126" s="38">
        <v>108</v>
      </c>
      <c r="M126" s="39">
        <v>-113</v>
      </c>
      <c r="N126" s="39">
        <v>113</v>
      </c>
      <c r="O126" s="54">
        <f t="shared" si="43"/>
        <v>113</v>
      </c>
      <c r="P126" s="53">
        <v>127</v>
      </c>
      <c r="Q126" s="53">
        <v>132</v>
      </c>
      <c r="R126" s="53">
        <v>-137</v>
      </c>
      <c r="S126" s="54">
        <f t="shared" si="44"/>
        <v>132</v>
      </c>
      <c r="T126" s="55">
        <f t="shared" si="45"/>
        <v>245</v>
      </c>
      <c r="U126" s="56" t="str">
        <f t="shared" si="46"/>
        <v>FED + 0</v>
      </c>
      <c r="V126" s="86" t="str">
        <f>IF(E126=0," ",IF(E126="H",IF(OR(E126="SEN",H126&lt;1998),VLOOKUP(K126,Minimas!$A$11:$G$29,6),IF(AND(H126&gt;1997,H126&lt;2001),VLOOKUP(K126,Minimas!$A$11:$G$29,5),IF(AND(H126&gt;2000,H126&lt;2003),VLOOKUP(K126,Minimas!$A$11:$G$29,4),IF(AND(H126&gt;2002,H126&lt;2005),VLOOKUP(K126,Minimas!$A$11:$G$29,3),VLOOKUP(K126,Minimas!$A$11:$G$29,2))))),IF(OR(H126="SEN",H126&lt;1998),VLOOKUP(K126,Minimas!$G$11:$L$26,6),IF(AND(H126&gt;1997,H126&lt;2001),VLOOKUP(K126,Minimas!$G$11:$L$26,5),IF(AND(H126&gt;2000,H126&lt;2003),VLOOKUP(K126,Minimas!$G$11:$L$26,4),IF(AND(H126&gt;2002,H126&lt;2005),VLOOKUP(K126,Minimas!$G$11:$L$26,3),VLOOKUP(K126,Minimas!$G$11:$L$26,2)))))))</f>
        <v>S 77</v>
      </c>
      <c r="W126" s="62">
        <f t="shared" si="47"/>
        <v>306.8757099446583</v>
      </c>
      <c r="X126" s="63"/>
      <c r="Y126" s="157" t="s">
        <v>131</v>
      </c>
      <c r="AB126" s="90">
        <f>T126-HLOOKUP(V126,Minimas!$C$1:$BN$10,2,FALSE)</f>
        <v>95</v>
      </c>
      <c r="AC126" s="90">
        <f>T126-HLOOKUP(V126,Minimas!$C$1:$BN$10,3,FALSE)</f>
        <v>75</v>
      </c>
      <c r="AD126" s="90">
        <f>T126-HLOOKUP(V126,Minimas!$C$1:$BN$10,4,FALSE)</f>
        <v>55</v>
      </c>
      <c r="AE126" s="90">
        <f>T126-HLOOKUP(V126,Minimas!$C$1:$BN$10,5,FALSE)</f>
        <v>30</v>
      </c>
      <c r="AF126" s="90">
        <f>T126-HLOOKUP(V126,Minimas!$C$1:$BN$10,6,FALSE)</f>
        <v>0</v>
      </c>
      <c r="AG126" s="90">
        <f>T126-HLOOKUP(V126,Minimas!$C$1:$BN$10,7,FALSE)</f>
        <v>-20</v>
      </c>
      <c r="AH126" s="90">
        <f>T126-HLOOKUP(V126,Minimas!$C$1:$BN$10,8,FALSE)</f>
        <v>-40</v>
      </c>
      <c r="AI126" s="90">
        <f>T126-HLOOKUP(V126,Minimas!$C$1:$BN$10,9,FALSE)</f>
        <v>-60</v>
      </c>
      <c r="AJ126" s="90">
        <f>T126-HLOOKUP(V126,Minimas!$C$1:$BN$10,10,FALSE)</f>
        <v>-75</v>
      </c>
      <c r="AK126" s="91" t="str">
        <f t="shared" si="175"/>
        <v>FED +</v>
      </c>
      <c r="AM126" s="5" t="str">
        <f t="shared" si="48"/>
        <v>FED +</v>
      </c>
      <c r="AN126" s="5">
        <f t="shared" si="49"/>
        <v>0</v>
      </c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</row>
    <row r="127" spans="1:123" s="5" customFormat="1" ht="27.95" customHeight="1" x14ac:dyDescent="0.2">
      <c r="B127" s="148" t="s">
        <v>120</v>
      </c>
      <c r="C127" s="161">
        <v>240195</v>
      </c>
      <c r="D127" s="92">
        <v>8</v>
      </c>
      <c r="E127" s="84" t="s">
        <v>70</v>
      </c>
      <c r="F127" s="36" t="s">
        <v>284</v>
      </c>
      <c r="G127" s="37" t="s">
        <v>285</v>
      </c>
      <c r="H127" s="92">
        <v>1994</v>
      </c>
      <c r="I127" s="192" t="s">
        <v>133</v>
      </c>
      <c r="J127" s="35" t="s">
        <v>108</v>
      </c>
      <c r="K127" s="103">
        <v>76.569999999999993</v>
      </c>
      <c r="L127" s="38">
        <v>-105</v>
      </c>
      <c r="M127" s="39">
        <v>105</v>
      </c>
      <c r="N127" s="39">
        <v>112</v>
      </c>
      <c r="O127" s="54">
        <f t="shared" si="43"/>
        <v>112</v>
      </c>
      <c r="P127" s="53">
        <v>133</v>
      </c>
      <c r="Q127" s="53" t="s">
        <v>126</v>
      </c>
      <c r="R127" s="53" t="s">
        <v>126</v>
      </c>
      <c r="S127" s="54">
        <f t="shared" si="44"/>
        <v>133</v>
      </c>
      <c r="T127" s="55">
        <f t="shared" si="45"/>
        <v>245</v>
      </c>
      <c r="U127" s="56" t="str">
        <f t="shared" si="46"/>
        <v>FED + 0</v>
      </c>
      <c r="V127" s="86" t="str">
        <f>IF(E127=0," ",IF(E127="H",IF(OR(E127="SEN",H127&lt;1998),VLOOKUP(K127,Minimas!$A$11:$G$29,6),IF(AND(H127&gt;1997,H127&lt;2001),VLOOKUP(K127,Minimas!$A$11:$G$29,5),IF(AND(H127&gt;2000,H127&lt;2003),VLOOKUP(K127,Minimas!$A$11:$G$29,4),IF(AND(H127&gt;2002,H127&lt;2005),VLOOKUP(K127,Minimas!$A$11:$G$29,3),VLOOKUP(K127,Minimas!$A$11:$G$29,2))))),IF(OR(H127="SEN",H127&lt;1998),VLOOKUP(K127,Minimas!$G$11:$L$26,6),IF(AND(H127&gt;1997,H127&lt;2001),VLOOKUP(K127,Minimas!$G$11:$L$26,5),IF(AND(H127&gt;2000,H127&lt;2003),VLOOKUP(K127,Minimas!$G$11:$L$26,4),IF(AND(H127&gt;2002,H127&lt;2005),VLOOKUP(K127,Minimas!$G$11:$L$26,3),VLOOKUP(K127,Minimas!$G$11:$L$26,2)))))))</f>
        <v>S 77</v>
      </c>
      <c r="W127" s="62">
        <f t="shared" si="47"/>
        <v>306.72360681419076</v>
      </c>
      <c r="X127" s="63"/>
      <c r="Y127" s="157" t="s">
        <v>131</v>
      </c>
      <c r="AB127" s="90">
        <f>T127-HLOOKUP(V127,Minimas!$C$1:$BN$10,2,FALSE)</f>
        <v>95</v>
      </c>
      <c r="AC127" s="90">
        <f>T127-HLOOKUP(V127,Minimas!$C$1:$BN$10,3,FALSE)</f>
        <v>75</v>
      </c>
      <c r="AD127" s="90">
        <f>T127-HLOOKUP(V127,Minimas!$C$1:$BN$10,4,FALSE)</f>
        <v>55</v>
      </c>
      <c r="AE127" s="90">
        <f>T127-HLOOKUP(V127,Minimas!$C$1:$BN$10,5,FALSE)</f>
        <v>30</v>
      </c>
      <c r="AF127" s="90">
        <f>T127-HLOOKUP(V127,Minimas!$C$1:$BN$10,6,FALSE)</f>
        <v>0</v>
      </c>
      <c r="AG127" s="90">
        <f>T127-HLOOKUP(V127,Minimas!$C$1:$BN$10,7,FALSE)</f>
        <v>-20</v>
      </c>
      <c r="AH127" s="90">
        <f>T127-HLOOKUP(V127,Minimas!$C$1:$BN$10,8,FALSE)</f>
        <v>-40</v>
      </c>
      <c r="AI127" s="90">
        <f>T127-HLOOKUP(V127,Minimas!$C$1:$BN$10,9,FALSE)</f>
        <v>-60</v>
      </c>
      <c r="AJ127" s="90">
        <f>T127-HLOOKUP(V127,Minimas!$C$1:$BN$10,10,FALSE)</f>
        <v>-75</v>
      </c>
      <c r="AK127" s="91" t="str">
        <f t="shared" si="175"/>
        <v>FED +</v>
      </c>
      <c r="AM127" s="5" t="str">
        <f t="shared" si="48"/>
        <v>FED +</v>
      </c>
      <c r="AN127" s="5">
        <f t="shared" si="49"/>
        <v>0</v>
      </c>
      <c r="AQ127" s="97"/>
      <c r="AR127" s="97"/>
      <c r="AS127" s="97"/>
      <c r="AT127" s="97"/>
      <c r="AU127" s="97"/>
      <c r="AV127" s="97"/>
      <c r="AW127" s="97"/>
      <c r="AX127" s="97"/>
      <c r="AY127" s="97"/>
      <c r="AZ127" s="97"/>
      <c r="BA127" s="97"/>
      <c r="BB127" s="97"/>
      <c r="BC127" s="97"/>
      <c r="BD127" s="97"/>
      <c r="BE127" s="97"/>
      <c r="BF127" s="97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7"/>
      <c r="BS127" s="97"/>
      <c r="BT127" s="97"/>
      <c r="BU127" s="97"/>
      <c r="BV127" s="97"/>
      <c r="BW127" s="97"/>
      <c r="BX127" s="97"/>
    </row>
    <row r="128" spans="1:123" s="5" customFormat="1" ht="27.95" customHeight="1" x14ac:dyDescent="0.2">
      <c r="B128" s="148" t="s">
        <v>525</v>
      </c>
      <c r="C128" s="161">
        <v>32517</v>
      </c>
      <c r="D128" s="92">
        <v>9</v>
      </c>
      <c r="E128" s="84" t="s">
        <v>70</v>
      </c>
      <c r="F128" s="36" t="s">
        <v>411</v>
      </c>
      <c r="G128" s="37" t="s">
        <v>412</v>
      </c>
      <c r="H128" s="92">
        <v>1985</v>
      </c>
      <c r="I128" s="192" t="s">
        <v>413</v>
      </c>
      <c r="J128" s="35" t="s">
        <v>108</v>
      </c>
      <c r="K128" s="103">
        <v>76</v>
      </c>
      <c r="L128" s="38">
        <v>100</v>
      </c>
      <c r="M128" s="39">
        <v>-105</v>
      </c>
      <c r="N128" s="39">
        <v>105</v>
      </c>
      <c r="O128" s="54">
        <f t="shared" si="43"/>
        <v>105</v>
      </c>
      <c r="P128" s="53">
        <v>130</v>
      </c>
      <c r="Q128" s="53">
        <v>-140</v>
      </c>
      <c r="R128" s="53">
        <v>140</v>
      </c>
      <c r="S128" s="54">
        <f t="shared" si="44"/>
        <v>140</v>
      </c>
      <c r="T128" s="55">
        <f t="shared" si="45"/>
        <v>245</v>
      </c>
      <c r="U128" s="56" t="str">
        <f t="shared" si="46"/>
        <v>FED + 0</v>
      </c>
      <c r="V128" s="86" t="str">
        <f>IF(E128=0," ",IF(E128="H",IF(OR(E128="SEN",H128&lt;1998),VLOOKUP(K128,Minimas!$A$11:$G$29,6),IF(AND(H128&gt;1997,H128&lt;2001),VLOOKUP(K128,Minimas!$A$11:$G$29,5),IF(AND(H128&gt;2000,H128&lt;2003),VLOOKUP(K128,Minimas!$A$11:$G$29,4),IF(AND(H128&gt;2002,H128&lt;2005),VLOOKUP(K128,Minimas!$A$11:$G$29,3),VLOOKUP(K128,Minimas!$A$11:$G$29,2))))),IF(OR(H128="SEN",H128&lt;1998),VLOOKUP(K128,Minimas!$G$11:$L$26,6),IF(AND(H128&gt;1997,H128&lt;2001),VLOOKUP(K128,Minimas!$G$11:$L$26,5),IF(AND(H128&gt;2000,H128&lt;2003),VLOOKUP(K128,Minimas!$G$11:$L$26,4),IF(AND(H128&gt;2002,H128&lt;2005),VLOOKUP(K128,Minimas!$G$11:$L$26,3),VLOOKUP(K128,Minimas!$G$11:$L$26,2)))))))</f>
        <v>S 77</v>
      </c>
      <c r="W128" s="62">
        <f t="shared" si="47"/>
        <v>307.97336453916563</v>
      </c>
      <c r="X128" s="63"/>
      <c r="Y128" s="156" t="s">
        <v>319</v>
      </c>
      <c r="AB128" s="90">
        <f>T128-HLOOKUP(V128,Minimas!$C$1:$BN$10,2,FALSE)</f>
        <v>95</v>
      </c>
      <c r="AC128" s="90">
        <f>T128-HLOOKUP(V128,Minimas!$C$1:$BN$10,3,FALSE)</f>
        <v>75</v>
      </c>
      <c r="AD128" s="90">
        <f>T128-HLOOKUP(V128,Minimas!$C$1:$BN$10,4,FALSE)</f>
        <v>55</v>
      </c>
      <c r="AE128" s="90">
        <f>T128-HLOOKUP(V128,Minimas!$C$1:$BN$10,5,FALSE)</f>
        <v>30</v>
      </c>
      <c r="AF128" s="90">
        <f>T128-HLOOKUP(V128,Minimas!$C$1:$BN$10,6,FALSE)</f>
        <v>0</v>
      </c>
      <c r="AG128" s="90">
        <f>T128-HLOOKUP(V128,Minimas!$C$1:$BN$10,7,FALSE)</f>
        <v>-20</v>
      </c>
      <c r="AH128" s="90">
        <f>T128-HLOOKUP(V128,Minimas!$C$1:$BN$10,8,FALSE)</f>
        <v>-40</v>
      </c>
      <c r="AI128" s="90">
        <f>T128-HLOOKUP(V128,Minimas!$C$1:$BN$10,9,FALSE)</f>
        <v>-60</v>
      </c>
      <c r="AJ128" s="90">
        <f>T128-HLOOKUP(V128,Minimas!$C$1:$BN$10,10,FALSE)</f>
        <v>-75</v>
      </c>
      <c r="AK128" s="91" t="str">
        <f t="shared" si="175"/>
        <v>FED +</v>
      </c>
      <c r="AM128" s="5" t="str">
        <f t="shared" si="48"/>
        <v>FED +</v>
      </c>
      <c r="AN128" s="5">
        <f t="shared" si="49"/>
        <v>0</v>
      </c>
      <c r="AQ128" s="97"/>
      <c r="AR128" s="97"/>
      <c r="AS128" s="97"/>
      <c r="AT128" s="97"/>
      <c r="AU128" s="97"/>
      <c r="AV128" s="97"/>
      <c r="AW128" s="97"/>
      <c r="AX128" s="97"/>
      <c r="AY128" s="97"/>
      <c r="AZ128" s="97"/>
      <c r="BA128" s="97"/>
      <c r="BB128" s="97"/>
      <c r="BC128" s="97"/>
      <c r="BD128" s="97"/>
      <c r="BE128" s="97"/>
      <c r="BF128" s="97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7"/>
      <c r="BS128" s="97"/>
      <c r="BT128" s="97"/>
      <c r="BU128" s="97"/>
      <c r="BV128" s="97"/>
      <c r="BW128" s="97"/>
      <c r="BX128" s="97"/>
    </row>
    <row r="129" spans="1:123" s="5" customFormat="1" ht="27.95" customHeight="1" x14ac:dyDescent="0.2">
      <c r="B129" s="148" t="s">
        <v>189</v>
      </c>
      <c r="C129" s="161">
        <v>388740</v>
      </c>
      <c r="D129" s="92">
        <v>10</v>
      </c>
      <c r="E129" s="84" t="s">
        <v>70</v>
      </c>
      <c r="F129" s="36" t="s">
        <v>414</v>
      </c>
      <c r="G129" s="37" t="s">
        <v>519</v>
      </c>
      <c r="H129" s="92">
        <v>1990</v>
      </c>
      <c r="I129" s="192" t="s">
        <v>549</v>
      </c>
      <c r="J129" s="35" t="s">
        <v>108</v>
      </c>
      <c r="K129" s="103">
        <v>77</v>
      </c>
      <c r="L129" s="38">
        <v>-103</v>
      </c>
      <c r="M129" s="39">
        <v>104</v>
      </c>
      <c r="N129" s="39">
        <v>106</v>
      </c>
      <c r="O129" s="54">
        <f t="shared" si="43"/>
        <v>106</v>
      </c>
      <c r="P129" s="53">
        <v>139</v>
      </c>
      <c r="Q129" s="53">
        <v>-160</v>
      </c>
      <c r="R129" s="53">
        <v>-162</v>
      </c>
      <c r="S129" s="54">
        <f t="shared" si="44"/>
        <v>139</v>
      </c>
      <c r="T129" s="55">
        <f t="shared" si="45"/>
        <v>245</v>
      </c>
      <c r="U129" s="56" t="str">
        <f t="shared" si="46"/>
        <v>FED + 0</v>
      </c>
      <c r="V129" s="86" t="str">
        <f>IF(E129=0," ",IF(E129="H",IF(OR(E129="SEN",H129&lt;1998),VLOOKUP(K129,Minimas!$A$11:$G$29,6),IF(AND(H129&gt;1997,H129&lt;2001),VLOOKUP(K129,Minimas!$A$11:$G$29,5),IF(AND(H129&gt;2000,H129&lt;2003),VLOOKUP(K129,Minimas!$A$11:$G$29,4),IF(AND(H129&gt;2002,H129&lt;2005),VLOOKUP(K129,Minimas!$A$11:$G$29,3),VLOOKUP(K129,Minimas!$A$11:$G$29,2))))),IF(OR(H129="SEN",H129&lt;1998),VLOOKUP(K129,Minimas!$G$11:$L$26,6),IF(AND(H129&gt;1997,H129&lt;2001),VLOOKUP(K129,Minimas!$G$11:$L$26,5),IF(AND(H129&gt;2000,H129&lt;2003),VLOOKUP(K129,Minimas!$G$11:$L$26,4),IF(AND(H129&gt;2002,H129&lt;2005),VLOOKUP(K129,Minimas!$G$11:$L$26,3),VLOOKUP(K129,Minimas!$G$11:$L$26,2)))))))</f>
        <v>S 77</v>
      </c>
      <c r="W129" s="62">
        <f t="shared" si="47"/>
        <v>305.79758455884291</v>
      </c>
      <c r="X129" s="63"/>
      <c r="Y129" s="156" t="s">
        <v>319</v>
      </c>
      <c r="AB129" s="90">
        <f>T129-HLOOKUP(V129,Minimas!$C$1:$BN$10,2,FALSE)</f>
        <v>95</v>
      </c>
      <c r="AC129" s="90">
        <f>T129-HLOOKUP(V129,Minimas!$C$1:$BN$10,3,FALSE)</f>
        <v>75</v>
      </c>
      <c r="AD129" s="90">
        <f>T129-HLOOKUP(V129,Minimas!$C$1:$BN$10,4,FALSE)</f>
        <v>55</v>
      </c>
      <c r="AE129" s="90">
        <f>T129-HLOOKUP(V129,Minimas!$C$1:$BN$10,5,FALSE)</f>
        <v>30</v>
      </c>
      <c r="AF129" s="90">
        <f>T129-HLOOKUP(V129,Minimas!$C$1:$BN$10,6,FALSE)</f>
        <v>0</v>
      </c>
      <c r="AG129" s="90">
        <f>T129-HLOOKUP(V129,Minimas!$C$1:$BN$10,7,FALSE)</f>
        <v>-20</v>
      </c>
      <c r="AH129" s="90">
        <f>T129-HLOOKUP(V129,Minimas!$C$1:$BN$10,8,FALSE)</f>
        <v>-40</v>
      </c>
      <c r="AI129" s="90">
        <f>T129-HLOOKUP(V129,Minimas!$C$1:$BN$10,9,FALSE)</f>
        <v>-60</v>
      </c>
      <c r="AJ129" s="90">
        <f>T129-HLOOKUP(V129,Minimas!$C$1:$BN$10,10,FALSE)</f>
        <v>-75</v>
      </c>
      <c r="AK129" s="91" t="str">
        <f t="shared" si="175"/>
        <v>FED +</v>
      </c>
      <c r="AM129" s="5" t="str">
        <f t="shared" si="48"/>
        <v>FED +</v>
      </c>
      <c r="AN129" s="5">
        <f t="shared" si="49"/>
        <v>0</v>
      </c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</row>
    <row r="130" spans="1:123" s="5" customFormat="1" ht="27.95" customHeight="1" x14ac:dyDescent="0.2">
      <c r="B130" s="148" t="s">
        <v>121</v>
      </c>
      <c r="C130" s="161">
        <v>86808</v>
      </c>
      <c r="D130" s="92">
        <v>11</v>
      </c>
      <c r="E130" s="84" t="s">
        <v>70</v>
      </c>
      <c r="F130" s="36" t="s">
        <v>415</v>
      </c>
      <c r="G130" s="37" t="s">
        <v>281</v>
      </c>
      <c r="H130" s="92">
        <v>1989</v>
      </c>
      <c r="I130" s="192" t="s">
        <v>416</v>
      </c>
      <c r="J130" s="35" t="s">
        <v>108</v>
      </c>
      <c r="K130" s="103">
        <v>77</v>
      </c>
      <c r="L130" s="38">
        <v>-105</v>
      </c>
      <c r="M130" s="39">
        <v>110</v>
      </c>
      <c r="N130" s="39">
        <v>115</v>
      </c>
      <c r="O130" s="54">
        <f t="shared" si="43"/>
        <v>115</v>
      </c>
      <c r="P130" s="53">
        <v>-130</v>
      </c>
      <c r="Q130" s="53">
        <v>-130</v>
      </c>
      <c r="R130" s="53">
        <v>130</v>
      </c>
      <c r="S130" s="54">
        <f t="shared" si="44"/>
        <v>130</v>
      </c>
      <c r="T130" s="55">
        <f t="shared" si="45"/>
        <v>245</v>
      </c>
      <c r="U130" s="56" t="str">
        <f t="shared" si="46"/>
        <v>FED + 0</v>
      </c>
      <c r="V130" s="86" t="str">
        <f>IF(E130=0," ",IF(E130="H",IF(OR(E130="SEN",H130&lt;1998),VLOOKUP(K130,Minimas!$A$11:$G$29,6),IF(AND(H130&gt;1997,H130&lt;2001),VLOOKUP(K130,Minimas!$A$11:$G$29,5),IF(AND(H130&gt;2000,H130&lt;2003),VLOOKUP(K130,Minimas!$A$11:$G$29,4),IF(AND(H130&gt;2002,H130&lt;2005),VLOOKUP(K130,Minimas!$A$11:$G$29,3),VLOOKUP(K130,Minimas!$A$11:$G$29,2))))),IF(OR(H130="SEN",H130&lt;1998),VLOOKUP(K130,Minimas!$G$11:$L$26,6),IF(AND(H130&gt;1997,H130&lt;2001),VLOOKUP(K130,Minimas!$G$11:$L$26,5),IF(AND(H130&gt;2000,H130&lt;2003),VLOOKUP(K130,Minimas!$G$11:$L$26,4),IF(AND(H130&gt;2002,H130&lt;2005),VLOOKUP(K130,Minimas!$G$11:$L$26,3),VLOOKUP(K130,Minimas!$G$11:$L$26,2)))))))</f>
        <v>S 77</v>
      </c>
      <c r="W130" s="62">
        <f t="shared" si="47"/>
        <v>305.79758455884291</v>
      </c>
      <c r="X130" s="63"/>
      <c r="Y130" s="156" t="s">
        <v>319</v>
      </c>
      <c r="AB130" s="90">
        <f>T130-HLOOKUP(V130,Minimas!$C$1:$BN$10,2,FALSE)</f>
        <v>95</v>
      </c>
      <c r="AC130" s="90">
        <f>T130-HLOOKUP(V130,Minimas!$C$1:$BN$10,3,FALSE)</f>
        <v>75</v>
      </c>
      <c r="AD130" s="90">
        <f>T130-HLOOKUP(V130,Minimas!$C$1:$BN$10,4,FALSE)</f>
        <v>55</v>
      </c>
      <c r="AE130" s="90">
        <f>T130-HLOOKUP(V130,Minimas!$C$1:$BN$10,5,FALSE)</f>
        <v>30</v>
      </c>
      <c r="AF130" s="90">
        <f>T130-HLOOKUP(V130,Minimas!$C$1:$BN$10,6,FALSE)</f>
        <v>0</v>
      </c>
      <c r="AG130" s="90">
        <f>T130-HLOOKUP(V130,Minimas!$C$1:$BN$10,7,FALSE)</f>
        <v>-20</v>
      </c>
      <c r="AH130" s="90">
        <f>T130-HLOOKUP(V130,Minimas!$C$1:$BN$10,8,FALSE)</f>
        <v>-40</v>
      </c>
      <c r="AI130" s="90">
        <f>T130-HLOOKUP(V130,Minimas!$C$1:$BN$10,9,FALSE)</f>
        <v>-60</v>
      </c>
      <c r="AJ130" s="90">
        <f>T130-HLOOKUP(V130,Minimas!$C$1:$BN$10,10,FALSE)</f>
        <v>-75</v>
      </c>
      <c r="AK130" s="91" t="str">
        <f t="shared" si="175"/>
        <v>FED +</v>
      </c>
      <c r="AM130" s="5" t="str">
        <f t="shared" si="48"/>
        <v>FED +</v>
      </c>
      <c r="AN130" s="5">
        <f t="shared" si="49"/>
        <v>0</v>
      </c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</row>
    <row r="131" spans="1:123" s="5" customFormat="1" ht="27.95" customHeight="1" thickBot="1" x14ac:dyDescent="0.25">
      <c r="B131" s="148" t="s">
        <v>128</v>
      </c>
      <c r="C131" s="161">
        <v>190040</v>
      </c>
      <c r="D131" s="92">
        <v>12</v>
      </c>
      <c r="E131" s="84" t="s">
        <v>70</v>
      </c>
      <c r="F131" s="36" t="s">
        <v>516</v>
      </c>
      <c r="G131" s="37" t="s">
        <v>517</v>
      </c>
      <c r="H131" s="92">
        <v>1989</v>
      </c>
      <c r="I131" s="192" t="s">
        <v>459</v>
      </c>
      <c r="J131" s="35" t="s">
        <v>108</v>
      </c>
      <c r="K131" s="103">
        <v>76.239999999999995</v>
      </c>
      <c r="L131" s="38">
        <v>108</v>
      </c>
      <c r="M131" s="39">
        <v>112</v>
      </c>
      <c r="N131" s="39">
        <v>-115</v>
      </c>
      <c r="O131" s="54">
        <f>IF(E131="","",IF(MAXA(L131:N131)&lt;=0,0,MAXA(L131:N131)))</f>
        <v>112</v>
      </c>
      <c r="P131" s="53">
        <v>130</v>
      </c>
      <c r="Q131" s="53">
        <v>133</v>
      </c>
      <c r="R131" s="53" t="s">
        <v>126</v>
      </c>
      <c r="S131" s="54">
        <f>IF(E131="","",IF(MAXA(P131:R131)&lt;=0,0,MAXA(P131:R131)))</f>
        <v>133</v>
      </c>
      <c r="T131" s="55">
        <f>IF(E131="","",IF(OR(O131=0,S131=0),0,O131+S131))</f>
        <v>245</v>
      </c>
      <c r="U131" s="56" t="str">
        <f>+CONCATENATE(AM131," ",AN131)</f>
        <v>FED + 0</v>
      </c>
      <c r="V131" s="86" t="str">
        <f>IF(E131=0," ",IF(E131="H",IF(OR(E131="SEN",H131&lt;1998),VLOOKUP(K131,Minimas!$A$11:$G$29,6),IF(AND(H131&gt;1997,H131&lt;2001),VLOOKUP(K131,Minimas!$A$11:$G$29,5),IF(AND(H131&gt;2000,H131&lt;2003),VLOOKUP(K131,Minimas!$A$11:$G$29,4),IF(AND(H131&gt;2002,H131&lt;2005),VLOOKUP(K131,Minimas!$A$11:$G$29,3),VLOOKUP(K131,Minimas!$A$11:$G$29,2))))),IF(OR(H131="SEN",H131&lt;1998),VLOOKUP(K131,Minimas!$G$11:$L$26,6),IF(AND(H131&gt;1997,H131&lt;2001),VLOOKUP(K131,Minimas!$G$11:$L$26,5),IF(AND(H131&gt;2000,H131&lt;2003),VLOOKUP(K131,Minimas!$G$11:$L$26,4),IF(AND(H131&gt;2002,H131&lt;2005),VLOOKUP(K131,Minimas!$G$11:$L$26,3),VLOOKUP(K131,Minimas!$G$11:$L$26,2)))))))</f>
        <v>S 77</v>
      </c>
      <c r="W131" s="62">
        <f>IF(E131=" "," ",IF(E131="H",10^(0.75194503*LOG(K131/175.508)^2)*T131,IF(E131="F",10^(0.783497476* LOG(K131/153.655)^2)*T131,"")))</f>
        <v>307.44402508309804</v>
      </c>
      <c r="X131" s="63"/>
      <c r="Y131" s="155" t="s">
        <v>441</v>
      </c>
      <c r="AB131" s="90">
        <f>T131-HLOOKUP(V131,Minimas!$C$1:$BN$10,2,FALSE)</f>
        <v>95</v>
      </c>
      <c r="AC131" s="90">
        <f>T131-HLOOKUP(V131,Minimas!$C$1:$BN$10,3,FALSE)</f>
        <v>75</v>
      </c>
      <c r="AD131" s="90">
        <f>T131-HLOOKUP(V131,Minimas!$C$1:$BN$10,4,FALSE)</f>
        <v>55</v>
      </c>
      <c r="AE131" s="90">
        <f>T131-HLOOKUP(V131,Minimas!$C$1:$BN$10,5,FALSE)</f>
        <v>30</v>
      </c>
      <c r="AF131" s="90">
        <f>T131-HLOOKUP(V131,Minimas!$C$1:$BN$10,6,FALSE)</f>
        <v>0</v>
      </c>
      <c r="AG131" s="90">
        <f>T131-HLOOKUP(V131,Minimas!$C$1:$BN$10,7,FALSE)</f>
        <v>-20</v>
      </c>
      <c r="AH131" s="90">
        <f>T131-HLOOKUP(V131,Minimas!$C$1:$BN$10,8,FALSE)</f>
        <v>-40</v>
      </c>
      <c r="AI131" s="90">
        <f>T131-HLOOKUP(V131,Minimas!$C$1:$BN$10,9,FALSE)</f>
        <v>-60</v>
      </c>
      <c r="AJ131" s="90">
        <f>T131-HLOOKUP(V131,Minimas!$C$1:$BN$10,10,FALSE)</f>
        <v>-75</v>
      </c>
      <c r="AK131" s="91" t="str">
        <f t="shared" si="175"/>
        <v>FED +</v>
      </c>
      <c r="AM131" s="5" t="str">
        <f>IF(AK131="","",AK131)</f>
        <v>FED +</v>
      </c>
      <c r="AN131" s="5">
        <f>IF(E131=0," ",IF(AJ131&gt;=0,AJ131,IF(AI131&gt;=0,AI131,IF(AH131&gt;=0,AH131,IF(AG131&gt;=0,AG131,IF(AF131&gt;=0,AF131,IF(AE131&gt;=0,AE131,IF(AD131&gt;=0,AD131,IF(AC131&gt;=0,AC131,AB131)))))))))</f>
        <v>0</v>
      </c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7"/>
      <c r="BD131" s="97"/>
      <c r="BE131" s="97"/>
      <c r="BF131" s="97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7"/>
      <c r="BS131" s="97"/>
      <c r="BT131" s="97"/>
      <c r="BU131" s="97"/>
      <c r="BV131" s="97"/>
      <c r="BW131" s="97"/>
      <c r="BX131" s="97"/>
    </row>
    <row r="132" spans="1:123" s="11" customFormat="1" ht="5.0999999999999996" customHeight="1" thickBot="1" x14ac:dyDescent="0.25">
      <c r="A132" s="8"/>
      <c r="B132" s="147"/>
      <c r="C132" s="160"/>
      <c r="D132" s="41"/>
      <c r="E132" s="41"/>
      <c r="F132" s="42"/>
      <c r="G132" s="43"/>
      <c r="H132" s="44"/>
      <c r="I132" s="193"/>
      <c r="J132" s="40"/>
      <c r="K132" s="101"/>
      <c r="L132" s="45"/>
      <c r="M132" s="45"/>
      <c r="N132" s="45"/>
      <c r="O132" s="46"/>
      <c r="P132" s="45"/>
      <c r="Q132" s="45"/>
      <c r="R132" s="45"/>
      <c r="S132" s="46"/>
      <c r="T132" s="46"/>
      <c r="U132" s="41"/>
      <c r="V132" s="48"/>
      <c r="W132" s="47"/>
      <c r="X132" s="7"/>
      <c r="Y132" s="154"/>
      <c r="Z132" s="7"/>
      <c r="AA132" s="7"/>
      <c r="AB132" s="89" t="s">
        <v>60</v>
      </c>
      <c r="AC132" s="89" t="s">
        <v>61</v>
      </c>
      <c r="AD132" s="89" t="s">
        <v>62</v>
      </c>
      <c r="AE132" s="89" t="s">
        <v>63</v>
      </c>
      <c r="AF132" s="89" t="s">
        <v>64</v>
      </c>
      <c r="AG132" s="89" t="s">
        <v>65</v>
      </c>
      <c r="AH132" s="89" t="s">
        <v>66</v>
      </c>
      <c r="AI132" s="89" t="s">
        <v>67</v>
      </c>
      <c r="AJ132" s="89" t="s">
        <v>68</v>
      </c>
      <c r="AK132" s="89"/>
      <c r="AL132" s="7"/>
      <c r="AM132" s="7"/>
      <c r="AN132" s="7"/>
      <c r="AO132" s="7"/>
      <c r="AP132" s="7"/>
      <c r="AQ132" s="95"/>
      <c r="AR132" s="95"/>
      <c r="AS132" s="95"/>
      <c r="AT132" s="95"/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s="5" customFormat="1" ht="27.95" customHeight="1" x14ac:dyDescent="0.2">
      <c r="B133" s="148" t="s">
        <v>124</v>
      </c>
      <c r="C133" s="161">
        <v>276112</v>
      </c>
      <c r="D133" s="92">
        <v>1</v>
      </c>
      <c r="E133" s="84" t="s">
        <v>70</v>
      </c>
      <c r="F133" s="36" t="s">
        <v>286</v>
      </c>
      <c r="G133" s="37" t="s">
        <v>683</v>
      </c>
      <c r="H133" s="92">
        <v>1989</v>
      </c>
      <c r="I133" s="192" t="s">
        <v>570</v>
      </c>
      <c r="J133" s="35" t="s">
        <v>287</v>
      </c>
      <c r="K133" s="103">
        <v>81.8</v>
      </c>
      <c r="L133" s="38">
        <v>115</v>
      </c>
      <c r="M133" s="39">
        <v>120</v>
      </c>
      <c r="N133" s="39">
        <v>125</v>
      </c>
      <c r="O133" s="54">
        <f t="shared" ref="O133:O137" si="183">IF(E133="","",IF(MAXA(L133:N133)&lt;=0,0,MAXA(L133:N133)))</f>
        <v>125</v>
      </c>
      <c r="P133" s="53">
        <v>140</v>
      </c>
      <c r="Q133" s="53">
        <v>145</v>
      </c>
      <c r="R133" s="53">
        <v>150</v>
      </c>
      <c r="S133" s="54">
        <f t="shared" ref="S133:S137" si="184">IF(E133="","",IF(MAXA(P133:R133)&lt;=0,0,MAXA(P133:R133)))</f>
        <v>150</v>
      </c>
      <c r="T133" s="55">
        <f t="shared" ref="T133:T137" si="185">IF(E133="","",IF(OR(O133=0,S133=0),0,O133+S133))</f>
        <v>275</v>
      </c>
      <c r="U133" s="56" t="str">
        <f t="shared" ref="U133:U137" si="186">+CONCATENATE(AM133," ",AN133)</f>
        <v>FED + 20</v>
      </c>
      <c r="V133" s="86" t="str">
        <f>IF(E133=0," ",IF(E133="H",IF(OR(E133="SEN",H133&lt;1998),VLOOKUP(K133,Minimas!$A$11:$G$29,6),IF(AND(H133&gt;1997,H133&lt;2001),VLOOKUP(K133,Minimas!$A$11:$G$29,5),IF(AND(H133&gt;2000,H133&lt;2003),VLOOKUP(K133,Minimas!$A$11:$G$29,4),IF(AND(H133&gt;2002,H133&lt;2005),VLOOKUP(K133,Minimas!$A$11:$G$29,3),VLOOKUP(K133,Minimas!$A$11:$G$29,2))))),IF(OR(H133="SEN",H133&lt;1998),VLOOKUP(K133,Minimas!$G$11:$L$26,6),IF(AND(H133&gt;1997,H133&lt;2001),VLOOKUP(K133,Minimas!$G$11:$L$26,5),IF(AND(H133&gt;2000,H133&lt;2003),VLOOKUP(K133,Minimas!$G$11:$L$26,4),IF(AND(H133&gt;2002,H133&lt;2005),VLOOKUP(K133,Minimas!$G$11:$L$26,3),VLOOKUP(K133,Minimas!$G$11:$L$26,2)))))))</f>
        <v>S 85</v>
      </c>
      <c r="W133" s="62">
        <f t="shared" ref="W133:W137" si="187">IF(E133=" "," ",IF(E133="H",10^(0.75194503*LOG(K133/175.508)^2)*T133,IF(E133="F",10^(0.783497476* LOG(K133/153.655)^2)*T133,"")))</f>
        <v>332.6498788226379</v>
      </c>
      <c r="X133" s="63"/>
      <c r="Y133" s="157" t="s">
        <v>131</v>
      </c>
      <c r="AB133" s="90">
        <f>T133-HLOOKUP(V133,Minimas!$C$1:$BN$10,2,FALSE)</f>
        <v>110</v>
      </c>
      <c r="AC133" s="90">
        <f>T133-HLOOKUP(V133,Minimas!$C$1:$BN$10,3,FALSE)</f>
        <v>90</v>
      </c>
      <c r="AD133" s="90">
        <f>T133-HLOOKUP(V133,Minimas!$C$1:$BN$10,4,FALSE)</f>
        <v>70</v>
      </c>
      <c r="AE133" s="90">
        <f>T133-HLOOKUP(V133,Minimas!$C$1:$BN$10,5,FALSE)</f>
        <v>50</v>
      </c>
      <c r="AF133" s="90">
        <f>T133-HLOOKUP(V133,Minimas!$C$1:$BN$10,6,FALSE)</f>
        <v>20</v>
      </c>
      <c r="AG133" s="90">
        <f>T133-HLOOKUP(V133,Minimas!$C$1:$BN$10,7,FALSE)</f>
        <v>-5</v>
      </c>
      <c r="AH133" s="90">
        <f>T133-HLOOKUP(V133,Minimas!$C$1:$BN$10,8,FALSE)</f>
        <v>-25</v>
      </c>
      <c r="AI133" s="90">
        <f>T133-HLOOKUP(V133,Minimas!$C$1:$BN$10,9,FALSE)</f>
        <v>-50</v>
      </c>
      <c r="AJ133" s="90">
        <f>T133-HLOOKUP(V133,Minimas!$C$1:$BN$10,10,FALSE)</f>
        <v>-70</v>
      </c>
      <c r="AK133" s="91" t="str">
        <f t="shared" ref="AK133:AK144" si="188">IF(E133=0," ",IF(AJ133&gt;=0,$AJ$5,IF(AI133&gt;=0,$AI$5,IF(AH133&gt;=0,$AH$5,IF(AG133&gt;=0,$AG$5,IF(AF133&gt;=0,$AF$5,IF(AE133&gt;=0,$AE$5,IF(AD133&gt;=0,$AD$5,IF(AC133&gt;=0,$AC$5,$AB$5)))))))))</f>
        <v>FED +</v>
      </c>
      <c r="AM133" s="5" t="str">
        <f t="shared" ref="AM133:AM137" si="189">IF(AK133="","",AK133)</f>
        <v>FED +</v>
      </c>
      <c r="AN133" s="5">
        <f t="shared" ref="AN133:AN137" si="190">IF(E133=0," ",IF(AJ133&gt;=0,AJ133,IF(AI133&gt;=0,AI133,IF(AH133&gt;=0,AH133,IF(AG133&gt;=0,AG133,IF(AF133&gt;=0,AF133,IF(AE133&gt;=0,AE133,IF(AD133&gt;=0,AD133,IF(AC133&gt;=0,AC133,AB133)))))))))</f>
        <v>20</v>
      </c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</row>
    <row r="134" spans="1:123" s="5" customFormat="1" ht="27.95" customHeight="1" x14ac:dyDescent="0.2">
      <c r="B134" s="150" t="s">
        <v>123</v>
      </c>
      <c r="C134" s="163">
        <v>137264</v>
      </c>
      <c r="D134" s="128">
        <v>2</v>
      </c>
      <c r="E134" s="129" t="s">
        <v>70</v>
      </c>
      <c r="F134" s="130" t="s">
        <v>145</v>
      </c>
      <c r="G134" s="131" t="s">
        <v>536</v>
      </c>
      <c r="H134" s="128">
        <v>1994</v>
      </c>
      <c r="I134" s="199" t="s">
        <v>119</v>
      </c>
      <c r="J134" s="132" t="s">
        <v>108</v>
      </c>
      <c r="K134" s="133">
        <v>77.95</v>
      </c>
      <c r="L134" s="134">
        <v>-112</v>
      </c>
      <c r="M134" s="135">
        <v>112</v>
      </c>
      <c r="N134" s="135">
        <v>120</v>
      </c>
      <c r="O134" s="136">
        <f t="shared" si="183"/>
        <v>120</v>
      </c>
      <c r="P134" s="137">
        <v>135</v>
      </c>
      <c r="Q134" s="137">
        <v>145</v>
      </c>
      <c r="R134" s="137">
        <v>150</v>
      </c>
      <c r="S134" s="136">
        <f t="shared" si="184"/>
        <v>150</v>
      </c>
      <c r="T134" s="138">
        <f t="shared" si="185"/>
        <v>270</v>
      </c>
      <c r="U134" s="139" t="str">
        <f t="shared" si="186"/>
        <v>FED + 15</v>
      </c>
      <c r="V134" s="140" t="str">
        <f>IF(E134=0," ",IF(E134="H",IF(OR(E134="SEN",H134&lt;1998),VLOOKUP(K134,Minimas!$A$11:$G$29,6),IF(AND(H134&gt;1997,H134&lt;2001),VLOOKUP(K134,Minimas!$A$11:$G$29,5),IF(AND(H134&gt;2000,H134&lt;2003),VLOOKUP(K134,Minimas!$A$11:$G$29,4),IF(AND(H134&gt;2002,H134&lt;2005),VLOOKUP(K134,Minimas!$A$11:$G$29,3),VLOOKUP(K134,Minimas!$A$11:$G$29,2))))),IF(OR(H134="SEN",H134&lt;1998),VLOOKUP(K134,Minimas!$G$11:$L$26,6),IF(AND(H134&gt;1997,H134&lt;2001),VLOOKUP(K134,Minimas!$G$11:$L$26,5),IF(AND(H134&gt;2000,H134&lt;2003),VLOOKUP(K134,Minimas!$G$11:$L$26,4),IF(AND(H134&gt;2002,H134&lt;2005),VLOOKUP(K134,Minimas!$G$11:$L$26,3),VLOOKUP(K134,Minimas!$G$11:$L$26,2)))))))</f>
        <v>S 85</v>
      </c>
      <c r="W134" s="141">
        <f t="shared" si="187"/>
        <v>334.8015458349293</v>
      </c>
      <c r="X134" s="63"/>
      <c r="Y134" s="157" t="s">
        <v>131</v>
      </c>
      <c r="AB134" s="90">
        <f>T134-HLOOKUP(V134,Minimas!$C$1:$BN$10,2,FALSE)</f>
        <v>105</v>
      </c>
      <c r="AC134" s="90">
        <f>T134-HLOOKUP(V134,Minimas!$C$1:$BN$10,3,FALSE)</f>
        <v>85</v>
      </c>
      <c r="AD134" s="90">
        <f>T134-HLOOKUP(V134,Minimas!$C$1:$BN$10,4,FALSE)</f>
        <v>65</v>
      </c>
      <c r="AE134" s="90">
        <f>T134-HLOOKUP(V134,Minimas!$C$1:$BN$10,5,FALSE)</f>
        <v>45</v>
      </c>
      <c r="AF134" s="90">
        <f>T134-HLOOKUP(V134,Minimas!$C$1:$BN$10,6,FALSE)</f>
        <v>15</v>
      </c>
      <c r="AG134" s="90">
        <f>T134-HLOOKUP(V134,Minimas!$C$1:$BN$10,7,FALSE)</f>
        <v>-10</v>
      </c>
      <c r="AH134" s="90">
        <f>T134-HLOOKUP(V134,Minimas!$C$1:$BN$10,8,FALSE)</f>
        <v>-30</v>
      </c>
      <c r="AI134" s="90">
        <f>T134-HLOOKUP(V134,Minimas!$C$1:$BN$10,9,FALSE)</f>
        <v>-55</v>
      </c>
      <c r="AJ134" s="90">
        <f>T134-HLOOKUP(V134,Minimas!$C$1:$BN$10,10,FALSE)</f>
        <v>-75</v>
      </c>
      <c r="AK134" s="91" t="str">
        <f t="shared" si="188"/>
        <v>FED +</v>
      </c>
      <c r="AM134" s="5" t="str">
        <f t="shared" si="189"/>
        <v>FED +</v>
      </c>
      <c r="AN134" s="5">
        <f t="shared" si="190"/>
        <v>15</v>
      </c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  <c r="BW134" s="97"/>
      <c r="BX134" s="97"/>
    </row>
    <row r="135" spans="1:123" s="5" customFormat="1" ht="27.95" customHeight="1" x14ac:dyDescent="0.2">
      <c r="B135" s="148" t="s">
        <v>120</v>
      </c>
      <c r="C135" s="161">
        <v>198301</v>
      </c>
      <c r="D135" s="92">
        <v>3</v>
      </c>
      <c r="E135" s="84" t="s">
        <v>70</v>
      </c>
      <c r="F135" s="36" t="s">
        <v>288</v>
      </c>
      <c r="G135" s="37" t="s">
        <v>289</v>
      </c>
      <c r="H135" s="92">
        <v>1991</v>
      </c>
      <c r="I135" s="192" t="s">
        <v>147</v>
      </c>
      <c r="J135" s="35" t="s">
        <v>108</v>
      </c>
      <c r="K135" s="103">
        <v>84.8</v>
      </c>
      <c r="L135" s="38">
        <v>115</v>
      </c>
      <c r="M135" s="39">
        <v>121</v>
      </c>
      <c r="N135" s="39">
        <v>-125</v>
      </c>
      <c r="O135" s="54">
        <f t="shared" si="183"/>
        <v>121</v>
      </c>
      <c r="P135" s="53">
        <v>140</v>
      </c>
      <c r="Q135" s="53">
        <v>-150</v>
      </c>
      <c r="R135" s="53">
        <v>-152</v>
      </c>
      <c r="S135" s="54">
        <f t="shared" si="184"/>
        <v>140</v>
      </c>
      <c r="T135" s="55">
        <f t="shared" si="185"/>
        <v>261</v>
      </c>
      <c r="U135" s="56" t="str">
        <f t="shared" si="186"/>
        <v>FED + 6</v>
      </c>
      <c r="V135" s="86" t="str">
        <f>IF(E135=0," ",IF(E135="H",IF(OR(E135="SEN",H135&lt;1998),VLOOKUP(K135,Minimas!$A$11:$G$29,6),IF(AND(H135&gt;1997,H135&lt;2001),VLOOKUP(K135,Minimas!$A$11:$G$29,5),IF(AND(H135&gt;2000,H135&lt;2003),VLOOKUP(K135,Minimas!$A$11:$G$29,4),IF(AND(H135&gt;2002,H135&lt;2005),VLOOKUP(K135,Minimas!$A$11:$G$29,3),VLOOKUP(K135,Minimas!$A$11:$G$29,2))))),IF(OR(H135="SEN",H135&lt;1998),VLOOKUP(K135,Minimas!$G$11:$L$26,6),IF(AND(H135&gt;1997,H135&lt;2001),VLOOKUP(K135,Minimas!$G$11:$L$26,5),IF(AND(H135&gt;2000,H135&lt;2003),VLOOKUP(K135,Minimas!$G$11:$L$26,4),IF(AND(H135&gt;2002,H135&lt;2005),VLOOKUP(K135,Minimas!$G$11:$L$26,3),VLOOKUP(K135,Minimas!$G$11:$L$26,2)))))))</f>
        <v>S 85</v>
      </c>
      <c r="W135" s="62">
        <f t="shared" si="187"/>
        <v>310.22709122716287</v>
      </c>
      <c r="X135" s="63"/>
      <c r="Y135" s="157" t="s">
        <v>131</v>
      </c>
      <c r="AB135" s="90">
        <f>T135-HLOOKUP(V135,Minimas!$C$1:$BN$10,2,FALSE)</f>
        <v>96</v>
      </c>
      <c r="AC135" s="90">
        <f>T135-HLOOKUP(V135,Minimas!$C$1:$BN$10,3,FALSE)</f>
        <v>76</v>
      </c>
      <c r="AD135" s="90">
        <f>T135-HLOOKUP(V135,Minimas!$C$1:$BN$10,4,FALSE)</f>
        <v>56</v>
      </c>
      <c r="AE135" s="90">
        <f>T135-HLOOKUP(V135,Minimas!$C$1:$BN$10,5,FALSE)</f>
        <v>36</v>
      </c>
      <c r="AF135" s="90">
        <f>T135-HLOOKUP(V135,Minimas!$C$1:$BN$10,6,FALSE)</f>
        <v>6</v>
      </c>
      <c r="AG135" s="90">
        <f>T135-HLOOKUP(V135,Minimas!$C$1:$BN$10,7,FALSE)</f>
        <v>-19</v>
      </c>
      <c r="AH135" s="90">
        <f>T135-HLOOKUP(V135,Minimas!$C$1:$BN$10,8,FALSE)</f>
        <v>-39</v>
      </c>
      <c r="AI135" s="90">
        <f>T135-HLOOKUP(V135,Minimas!$C$1:$BN$10,9,FALSE)</f>
        <v>-64</v>
      </c>
      <c r="AJ135" s="90">
        <f>T135-HLOOKUP(V135,Minimas!$C$1:$BN$10,10,FALSE)</f>
        <v>-84</v>
      </c>
      <c r="AK135" s="91" t="str">
        <f t="shared" si="188"/>
        <v>FED +</v>
      </c>
      <c r="AM135" s="5" t="str">
        <f t="shared" si="189"/>
        <v>FED +</v>
      </c>
      <c r="AN135" s="5">
        <f t="shared" si="190"/>
        <v>6</v>
      </c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  <c r="BW135" s="97"/>
      <c r="BX135" s="97"/>
    </row>
    <row r="136" spans="1:123" s="5" customFormat="1" ht="27.95" customHeight="1" x14ac:dyDescent="0.2">
      <c r="B136" s="148" t="s">
        <v>314</v>
      </c>
      <c r="C136" s="161">
        <v>310633</v>
      </c>
      <c r="D136" s="92">
        <v>4</v>
      </c>
      <c r="E136" s="84" t="s">
        <v>70</v>
      </c>
      <c r="F136" s="36" t="s">
        <v>417</v>
      </c>
      <c r="G136" s="37" t="s">
        <v>680</v>
      </c>
      <c r="H136" s="92">
        <v>1992</v>
      </c>
      <c r="I136" s="192" t="s">
        <v>571</v>
      </c>
      <c r="J136" s="35" t="s">
        <v>108</v>
      </c>
      <c r="K136" s="103">
        <v>83.6</v>
      </c>
      <c r="L136" s="38">
        <v>110</v>
      </c>
      <c r="M136" s="39">
        <v>115</v>
      </c>
      <c r="N136" s="39">
        <v>118</v>
      </c>
      <c r="O136" s="54">
        <f t="shared" si="183"/>
        <v>118</v>
      </c>
      <c r="P136" s="53">
        <v>137</v>
      </c>
      <c r="Q136" s="53">
        <v>140</v>
      </c>
      <c r="R136" s="53">
        <v>143</v>
      </c>
      <c r="S136" s="54">
        <f t="shared" si="184"/>
        <v>143</v>
      </c>
      <c r="T136" s="55">
        <f t="shared" si="185"/>
        <v>261</v>
      </c>
      <c r="U136" s="56" t="str">
        <f t="shared" si="186"/>
        <v>FED + 6</v>
      </c>
      <c r="V136" s="86" t="str">
        <f>IF(E136=0," ",IF(E136="H",IF(OR(E136="SEN",H136&lt;1998),VLOOKUP(K136,Minimas!$A$11:$G$29,6),IF(AND(H136&gt;1997,H136&lt;2001),VLOOKUP(K136,Minimas!$A$11:$G$29,5),IF(AND(H136&gt;2000,H136&lt;2003),VLOOKUP(K136,Minimas!$A$11:$G$29,4),IF(AND(H136&gt;2002,H136&lt;2005),VLOOKUP(K136,Minimas!$A$11:$G$29,3),VLOOKUP(K136,Minimas!$A$11:$G$29,2))))),IF(OR(H136="SEN",H136&lt;1998),VLOOKUP(K136,Minimas!$G$11:$L$26,6),IF(AND(H136&gt;1997,H136&lt;2001),VLOOKUP(K136,Minimas!$G$11:$L$26,5),IF(AND(H136&gt;2000,H136&lt;2003),VLOOKUP(K136,Minimas!$G$11:$L$26,4),IF(AND(H136&gt;2002,H136&lt;2005),VLOOKUP(K136,Minimas!$G$11:$L$26,3),VLOOKUP(K136,Minimas!$G$11:$L$26,2)))))))</f>
        <v>S 85</v>
      </c>
      <c r="W136" s="62">
        <f t="shared" si="187"/>
        <v>312.35544037790282</v>
      </c>
      <c r="X136" s="63"/>
      <c r="Y136" s="156" t="s">
        <v>319</v>
      </c>
      <c r="AB136" s="90">
        <f>T136-HLOOKUP(V136,Minimas!$C$1:$BN$10,2,FALSE)</f>
        <v>96</v>
      </c>
      <c r="AC136" s="90">
        <f>T136-HLOOKUP(V136,Minimas!$C$1:$BN$10,3,FALSE)</f>
        <v>76</v>
      </c>
      <c r="AD136" s="90">
        <f>T136-HLOOKUP(V136,Minimas!$C$1:$BN$10,4,FALSE)</f>
        <v>56</v>
      </c>
      <c r="AE136" s="90">
        <f>T136-HLOOKUP(V136,Minimas!$C$1:$BN$10,5,FALSE)</f>
        <v>36</v>
      </c>
      <c r="AF136" s="90">
        <f>T136-HLOOKUP(V136,Minimas!$C$1:$BN$10,6,FALSE)</f>
        <v>6</v>
      </c>
      <c r="AG136" s="90">
        <f>T136-HLOOKUP(V136,Minimas!$C$1:$BN$10,7,FALSE)</f>
        <v>-19</v>
      </c>
      <c r="AH136" s="90">
        <f>T136-HLOOKUP(V136,Minimas!$C$1:$BN$10,8,FALSE)</f>
        <v>-39</v>
      </c>
      <c r="AI136" s="90">
        <f>T136-HLOOKUP(V136,Minimas!$C$1:$BN$10,9,FALSE)</f>
        <v>-64</v>
      </c>
      <c r="AJ136" s="90">
        <f>T136-HLOOKUP(V136,Minimas!$C$1:$BN$10,10,FALSE)</f>
        <v>-84</v>
      </c>
      <c r="AK136" s="91" t="str">
        <f t="shared" si="188"/>
        <v>FED +</v>
      </c>
      <c r="AM136" s="5" t="str">
        <f t="shared" si="189"/>
        <v>FED +</v>
      </c>
      <c r="AN136" s="5">
        <f t="shared" si="190"/>
        <v>6</v>
      </c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7"/>
      <c r="BE136" s="97"/>
      <c r="BF136" s="97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7"/>
      <c r="BS136" s="97"/>
      <c r="BT136" s="97"/>
      <c r="BU136" s="97"/>
      <c r="BV136" s="97"/>
      <c r="BW136" s="97"/>
      <c r="BX136" s="97"/>
    </row>
    <row r="137" spans="1:123" s="5" customFormat="1" ht="27.95" customHeight="1" x14ac:dyDescent="0.2">
      <c r="B137" s="148" t="s">
        <v>189</v>
      </c>
      <c r="C137" s="161">
        <v>67662</v>
      </c>
      <c r="D137" s="92">
        <v>5</v>
      </c>
      <c r="E137" s="84" t="s">
        <v>70</v>
      </c>
      <c r="F137" s="36" t="s">
        <v>290</v>
      </c>
      <c r="G137" s="37" t="s">
        <v>291</v>
      </c>
      <c r="H137" s="92">
        <v>1994</v>
      </c>
      <c r="I137" s="192" t="s">
        <v>572</v>
      </c>
      <c r="J137" s="35" t="s">
        <v>108</v>
      </c>
      <c r="K137" s="103">
        <v>82.5</v>
      </c>
      <c r="L137" s="38">
        <v>115</v>
      </c>
      <c r="M137" s="39">
        <v>120</v>
      </c>
      <c r="N137" s="39">
        <v>-123</v>
      </c>
      <c r="O137" s="54">
        <f t="shared" si="183"/>
        <v>120</v>
      </c>
      <c r="P137" s="53">
        <v>135</v>
      </c>
      <c r="Q137" s="53">
        <v>140</v>
      </c>
      <c r="R137" s="53">
        <v>0</v>
      </c>
      <c r="S137" s="54">
        <f t="shared" si="184"/>
        <v>140</v>
      </c>
      <c r="T137" s="55">
        <f t="shared" si="185"/>
        <v>260</v>
      </c>
      <c r="U137" s="56" t="str">
        <f t="shared" si="186"/>
        <v>FED + 5</v>
      </c>
      <c r="V137" s="86" t="str">
        <f>IF(E137=0," ",IF(E137="H",IF(OR(E137="SEN",H137&lt;1998),VLOOKUP(K137,Minimas!$A$11:$G$29,6),IF(AND(H137&gt;1997,H137&lt;2001),VLOOKUP(K137,Minimas!$A$11:$G$29,5),IF(AND(H137&gt;2000,H137&lt;2003),VLOOKUP(K137,Minimas!$A$11:$G$29,4),IF(AND(H137&gt;2002,H137&lt;2005),VLOOKUP(K137,Minimas!$A$11:$G$29,3),VLOOKUP(K137,Minimas!$A$11:$G$29,2))))),IF(OR(H137="SEN",H137&lt;1998),VLOOKUP(K137,Minimas!$G$11:$L$26,6),IF(AND(H137&gt;1997,H137&lt;2001),VLOOKUP(K137,Minimas!$G$11:$L$26,5),IF(AND(H137&gt;2000,H137&lt;2003),VLOOKUP(K137,Minimas!$G$11:$L$26,4),IF(AND(H137&gt;2002,H137&lt;2005),VLOOKUP(K137,Minimas!$G$11:$L$26,3),VLOOKUP(K137,Minimas!$G$11:$L$26,2)))))))</f>
        <v>S 85</v>
      </c>
      <c r="W137" s="62">
        <f t="shared" si="187"/>
        <v>313.17938061570953</v>
      </c>
      <c r="X137" s="63"/>
      <c r="Y137" s="157" t="s">
        <v>131</v>
      </c>
      <c r="AB137" s="90">
        <f>T137-HLOOKUP(V137,Minimas!$C$1:$BN$10,2,FALSE)</f>
        <v>95</v>
      </c>
      <c r="AC137" s="90">
        <f>T137-HLOOKUP(V137,Minimas!$C$1:$BN$10,3,FALSE)</f>
        <v>75</v>
      </c>
      <c r="AD137" s="90">
        <f>T137-HLOOKUP(V137,Minimas!$C$1:$BN$10,4,FALSE)</f>
        <v>55</v>
      </c>
      <c r="AE137" s="90">
        <f>T137-HLOOKUP(V137,Minimas!$C$1:$BN$10,5,FALSE)</f>
        <v>35</v>
      </c>
      <c r="AF137" s="90">
        <f>T137-HLOOKUP(V137,Minimas!$C$1:$BN$10,6,FALSE)</f>
        <v>5</v>
      </c>
      <c r="AG137" s="90">
        <f>T137-HLOOKUP(V137,Minimas!$C$1:$BN$10,7,FALSE)</f>
        <v>-20</v>
      </c>
      <c r="AH137" s="90">
        <f>T137-HLOOKUP(V137,Minimas!$C$1:$BN$10,8,FALSE)</f>
        <v>-40</v>
      </c>
      <c r="AI137" s="90">
        <f>T137-HLOOKUP(V137,Minimas!$C$1:$BN$10,9,FALSE)</f>
        <v>-65</v>
      </c>
      <c r="AJ137" s="90">
        <f>T137-HLOOKUP(V137,Minimas!$C$1:$BN$10,10,FALSE)</f>
        <v>-85</v>
      </c>
      <c r="AK137" s="91" t="str">
        <f t="shared" si="188"/>
        <v>FED +</v>
      </c>
      <c r="AM137" s="5" t="str">
        <f t="shared" si="189"/>
        <v>FED +</v>
      </c>
      <c r="AN137" s="5">
        <f t="shared" si="190"/>
        <v>5</v>
      </c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7"/>
      <c r="BD137" s="97"/>
      <c r="BE137" s="97"/>
      <c r="BF137" s="97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7"/>
      <c r="BS137" s="97"/>
      <c r="BT137" s="97"/>
      <c r="BU137" s="97"/>
      <c r="BV137" s="97"/>
      <c r="BW137" s="97"/>
      <c r="BX137" s="97"/>
    </row>
    <row r="138" spans="1:123" s="5" customFormat="1" ht="27.95" customHeight="1" x14ac:dyDescent="0.2">
      <c r="B138" s="148" t="s">
        <v>123</v>
      </c>
      <c r="C138" s="161">
        <v>83129</v>
      </c>
      <c r="D138" s="92">
        <v>6</v>
      </c>
      <c r="E138" s="84" t="s">
        <v>70</v>
      </c>
      <c r="F138" s="36" t="s">
        <v>292</v>
      </c>
      <c r="G138" s="37" t="s">
        <v>684</v>
      </c>
      <c r="H138" s="92">
        <v>1988</v>
      </c>
      <c r="I138" s="192" t="s">
        <v>293</v>
      </c>
      <c r="J138" s="35" t="s">
        <v>108</v>
      </c>
      <c r="K138" s="103">
        <v>83.9</v>
      </c>
      <c r="L138" s="38">
        <v>-110</v>
      </c>
      <c r="M138" s="39">
        <v>110</v>
      </c>
      <c r="N138" s="39">
        <v>-120</v>
      </c>
      <c r="O138" s="54">
        <f t="shared" ref="O138:O162" si="191">IF(E138="","",IF(MAXA(L138:N138)&lt;=0,0,MAXA(L138:N138)))</f>
        <v>110</v>
      </c>
      <c r="P138" s="53">
        <v>140</v>
      </c>
      <c r="Q138" s="53">
        <v>150</v>
      </c>
      <c r="R138" s="53">
        <v>0</v>
      </c>
      <c r="S138" s="54">
        <f t="shared" ref="S138:S162" si="192">IF(E138="","",IF(MAXA(P138:R138)&lt;=0,0,MAXA(P138:R138)))</f>
        <v>150</v>
      </c>
      <c r="T138" s="55">
        <f t="shared" ref="T138:T162" si="193">IF(E138="","",IF(OR(O138=0,S138=0),0,O138+S138))</f>
        <v>260</v>
      </c>
      <c r="U138" s="56" t="str">
        <f t="shared" ref="U138:U162" si="194">+CONCATENATE(AM138," ",AN138)</f>
        <v>FED + 5</v>
      </c>
      <c r="V138" s="86" t="str">
        <f>IF(E138=0," ",IF(E138="H",IF(OR(E138="SEN",H138&lt;1998),VLOOKUP(K138,Minimas!$A$11:$G$29,6),IF(AND(H138&gt;1997,H138&lt;2001),VLOOKUP(K138,Minimas!$A$11:$G$29,5),IF(AND(H138&gt;2000,H138&lt;2003),VLOOKUP(K138,Minimas!$A$11:$G$29,4),IF(AND(H138&gt;2002,H138&lt;2005),VLOOKUP(K138,Minimas!$A$11:$G$29,3),VLOOKUP(K138,Minimas!$A$11:$G$29,2))))),IF(OR(H138="SEN",H138&lt;1998),VLOOKUP(K138,Minimas!$G$11:$L$26,6),IF(AND(H138&gt;1997,H138&lt;2001),VLOOKUP(K138,Minimas!$G$11:$L$26,5),IF(AND(H138&gt;2000,H138&lt;2003),VLOOKUP(K138,Minimas!$G$11:$L$26,4),IF(AND(H138&gt;2002,H138&lt;2005),VLOOKUP(K138,Minimas!$G$11:$L$26,3),VLOOKUP(K138,Minimas!$G$11:$L$26,2)))))))</f>
        <v>S 85</v>
      </c>
      <c r="W138" s="62">
        <f t="shared" ref="W138:W162" si="195">IF(E138=" "," ",IF(E138="H",10^(0.75194503*LOG(K138/175.508)^2)*T138,IF(E138="F",10^(0.783497476* LOG(K138/153.655)^2)*T138,"")))</f>
        <v>310.62054634531955</v>
      </c>
      <c r="X138" s="63"/>
      <c r="Y138" s="157" t="s">
        <v>131</v>
      </c>
      <c r="AB138" s="90">
        <f>T138-HLOOKUP(V138,Minimas!$C$1:$BN$10,2,FALSE)</f>
        <v>95</v>
      </c>
      <c r="AC138" s="90">
        <f>T138-HLOOKUP(V138,Minimas!$C$1:$BN$10,3,FALSE)</f>
        <v>75</v>
      </c>
      <c r="AD138" s="90">
        <f>T138-HLOOKUP(V138,Minimas!$C$1:$BN$10,4,FALSE)</f>
        <v>55</v>
      </c>
      <c r="AE138" s="90">
        <f>T138-HLOOKUP(V138,Minimas!$C$1:$BN$10,5,FALSE)</f>
        <v>35</v>
      </c>
      <c r="AF138" s="90">
        <f>T138-HLOOKUP(V138,Minimas!$C$1:$BN$10,6,FALSE)</f>
        <v>5</v>
      </c>
      <c r="AG138" s="90">
        <f>T138-HLOOKUP(V138,Minimas!$C$1:$BN$10,7,FALSE)</f>
        <v>-20</v>
      </c>
      <c r="AH138" s="90">
        <f>T138-HLOOKUP(V138,Minimas!$C$1:$BN$10,8,FALSE)</f>
        <v>-40</v>
      </c>
      <c r="AI138" s="90">
        <f>T138-HLOOKUP(V138,Minimas!$C$1:$BN$10,9,FALSE)</f>
        <v>-65</v>
      </c>
      <c r="AJ138" s="90">
        <f>T138-HLOOKUP(V138,Minimas!$C$1:$BN$10,10,FALSE)</f>
        <v>-85</v>
      </c>
      <c r="AK138" s="91" t="str">
        <f t="shared" si="188"/>
        <v>FED +</v>
      </c>
      <c r="AM138" s="5" t="str">
        <f t="shared" ref="AM138:AM162" si="196">IF(AK138="","",AK138)</f>
        <v>FED +</v>
      </c>
      <c r="AN138" s="5">
        <f t="shared" ref="AN138:AN162" si="197">IF(E138=0," ",IF(AJ138&gt;=0,AJ138,IF(AI138&gt;=0,AI138,IF(AH138&gt;=0,AH138,IF(AG138&gt;=0,AG138,IF(AF138&gt;=0,AF138,IF(AE138&gt;=0,AE138,IF(AD138&gt;=0,AD138,IF(AC138&gt;=0,AC138,AB138)))))))))</f>
        <v>5</v>
      </c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  <c r="BW138" s="97"/>
      <c r="BX138" s="97"/>
    </row>
    <row r="139" spans="1:123" s="5" customFormat="1" ht="27.95" customHeight="1" x14ac:dyDescent="0.2">
      <c r="B139" s="148" t="s">
        <v>122</v>
      </c>
      <c r="C139" s="161">
        <v>424663</v>
      </c>
      <c r="D139" s="92">
        <v>7</v>
      </c>
      <c r="E139" s="84" t="s">
        <v>70</v>
      </c>
      <c r="F139" s="36" t="s">
        <v>294</v>
      </c>
      <c r="G139" s="37" t="s">
        <v>295</v>
      </c>
      <c r="H139" s="92">
        <v>1987</v>
      </c>
      <c r="I139" s="192" t="s">
        <v>573</v>
      </c>
      <c r="J139" s="35" t="s">
        <v>108</v>
      </c>
      <c r="K139" s="103">
        <v>85</v>
      </c>
      <c r="L139" s="38">
        <v>115</v>
      </c>
      <c r="M139" s="39">
        <v>120</v>
      </c>
      <c r="N139" s="39">
        <v>-125</v>
      </c>
      <c r="O139" s="54">
        <f t="shared" si="191"/>
        <v>120</v>
      </c>
      <c r="P139" s="53">
        <v>-135</v>
      </c>
      <c r="Q139" s="53">
        <v>135</v>
      </c>
      <c r="R139" s="53">
        <v>140</v>
      </c>
      <c r="S139" s="54">
        <f t="shared" si="192"/>
        <v>140</v>
      </c>
      <c r="T139" s="55">
        <f t="shared" si="193"/>
        <v>260</v>
      </c>
      <c r="U139" s="56" t="str">
        <f t="shared" si="194"/>
        <v>FED + 5</v>
      </c>
      <c r="V139" s="86" t="str">
        <f>IF(E139=0," ",IF(E139="H",IF(OR(E139="SEN",H139&lt;1998),VLOOKUP(K139,Minimas!$A$11:$G$29,6),IF(AND(H139&gt;1997,H139&lt;2001),VLOOKUP(K139,Minimas!$A$11:$G$29,5),IF(AND(H139&gt;2000,H139&lt;2003),VLOOKUP(K139,Minimas!$A$11:$G$29,4),IF(AND(H139&gt;2002,H139&lt;2005),VLOOKUP(K139,Minimas!$A$11:$G$29,3),VLOOKUP(K139,Minimas!$A$11:$G$29,2))))),IF(OR(H139="SEN",H139&lt;1998),VLOOKUP(K139,Minimas!$G$11:$L$26,6),IF(AND(H139&gt;1997,H139&lt;2001),VLOOKUP(K139,Minimas!$G$11:$L$26,5),IF(AND(H139&gt;2000,H139&lt;2003),VLOOKUP(K139,Minimas!$G$11:$L$26,4),IF(AND(H139&gt;2002,H139&lt;2005),VLOOKUP(K139,Minimas!$G$11:$L$26,3),VLOOKUP(K139,Minimas!$G$11:$L$26,2)))))))</f>
        <v>S 85</v>
      </c>
      <c r="W139" s="62">
        <f t="shared" si="195"/>
        <v>308.69337305108138</v>
      </c>
      <c r="X139" s="63"/>
      <c r="Y139" s="157" t="s">
        <v>131</v>
      </c>
      <c r="AB139" s="90">
        <f>T139-HLOOKUP(V139,Minimas!$C$1:$BN$10,2,FALSE)</f>
        <v>95</v>
      </c>
      <c r="AC139" s="90">
        <f>T139-HLOOKUP(V139,Minimas!$C$1:$BN$10,3,FALSE)</f>
        <v>75</v>
      </c>
      <c r="AD139" s="90">
        <f>T139-HLOOKUP(V139,Minimas!$C$1:$BN$10,4,FALSE)</f>
        <v>55</v>
      </c>
      <c r="AE139" s="90">
        <f>T139-HLOOKUP(V139,Minimas!$C$1:$BN$10,5,FALSE)</f>
        <v>35</v>
      </c>
      <c r="AF139" s="90">
        <f>T139-HLOOKUP(V139,Minimas!$C$1:$BN$10,6,FALSE)</f>
        <v>5</v>
      </c>
      <c r="AG139" s="90">
        <f>T139-HLOOKUP(V139,Minimas!$C$1:$BN$10,7,FALSE)</f>
        <v>-20</v>
      </c>
      <c r="AH139" s="90">
        <f>T139-HLOOKUP(V139,Minimas!$C$1:$BN$10,8,FALSE)</f>
        <v>-40</v>
      </c>
      <c r="AI139" s="90">
        <f>T139-HLOOKUP(V139,Minimas!$C$1:$BN$10,9,FALSE)</f>
        <v>-65</v>
      </c>
      <c r="AJ139" s="90">
        <f>T139-HLOOKUP(V139,Minimas!$C$1:$BN$10,10,FALSE)</f>
        <v>-85</v>
      </c>
      <c r="AK139" s="91" t="str">
        <f t="shared" si="188"/>
        <v>FED +</v>
      </c>
      <c r="AM139" s="5" t="str">
        <f t="shared" si="196"/>
        <v>FED +</v>
      </c>
      <c r="AN139" s="5">
        <f t="shared" si="197"/>
        <v>5</v>
      </c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  <c r="BW139" s="97"/>
      <c r="BX139" s="97"/>
    </row>
    <row r="140" spans="1:123" s="5" customFormat="1" ht="27.95" customHeight="1" x14ac:dyDescent="0.2">
      <c r="B140" s="148" t="s">
        <v>124</v>
      </c>
      <c r="C140" s="161">
        <v>353154</v>
      </c>
      <c r="D140" s="92">
        <v>8</v>
      </c>
      <c r="E140" s="84" t="s">
        <v>70</v>
      </c>
      <c r="F140" s="36" t="s">
        <v>296</v>
      </c>
      <c r="G140" s="37" t="s">
        <v>509</v>
      </c>
      <c r="H140" s="92">
        <v>1993</v>
      </c>
      <c r="I140" s="192" t="s">
        <v>574</v>
      </c>
      <c r="J140" s="35" t="s">
        <v>108</v>
      </c>
      <c r="K140" s="103">
        <v>84.3</v>
      </c>
      <c r="L140" s="38">
        <v>105</v>
      </c>
      <c r="M140" s="39">
        <v>110</v>
      </c>
      <c r="N140" s="39">
        <v>112</v>
      </c>
      <c r="O140" s="54">
        <f t="shared" si="191"/>
        <v>112</v>
      </c>
      <c r="P140" s="53">
        <v>135</v>
      </c>
      <c r="Q140" s="53">
        <v>143</v>
      </c>
      <c r="R140" s="53">
        <v>145</v>
      </c>
      <c r="S140" s="54">
        <f t="shared" si="192"/>
        <v>145</v>
      </c>
      <c r="T140" s="55">
        <f t="shared" si="193"/>
        <v>257</v>
      </c>
      <c r="U140" s="56" t="str">
        <f t="shared" si="194"/>
        <v>FED + 2</v>
      </c>
      <c r="V140" s="86" t="str">
        <f>IF(E140=0," ",IF(E140="H",IF(OR(E140="SEN",H140&lt;1998),VLOOKUP(K140,Minimas!$A$11:$G$29,6),IF(AND(H140&gt;1997,H140&lt;2001),VLOOKUP(K140,Minimas!$A$11:$G$29,5),IF(AND(H140&gt;2000,H140&lt;2003),VLOOKUP(K140,Minimas!$A$11:$G$29,4),IF(AND(H140&gt;2002,H140&lt;2005),VLOOKUP(K140,Minimas!$A$11:$G$29,3),VLOOKUP(K140,Minimas!$A$11:$G$29,2))))),IF(OR(H140="SEN",H140&lt;1998),VLOOKUP(K140,Minimas!$G$11:$L$26,6),IF(AND(H140&gt;1997,H140&lt;2001),VLOOKUP(K140,Minimas!$G$11:$L$26,5),IF(AND(H140&gt;2000,H140&lt;2003),VLOOKUP(K140,Minimas!$G$11:$L$26,4),IF(AND(H140&gt;2002,H140&lt;2005),VLOOKUP(K140,Minimas!$G$11:$L$26,3),VLOOKUP(K140,Minimas!$G$11:$L$26,2)))))))</f>
        <v>S 85</v>
      </c>
      <c r="W140" s="62">
        <f t="shared" si="195"/>
        <v>306.33557535644604</v>
      </c>
      <c r="X140" s="63"/>
      <c r="Y140" s="157" t="s">
        <v>131</v>
      </c>
      <c r="AB140" s="90">
        <f>T140-HLOOKUP(V140,Minimas!$C$1:$BN$10,2,FALSE)</f>
        <v>92</v>
      </c>
      <c r="AC140" s="90">
        <f>T140-HLOOKUP(V140,Minimas!$C$1:$BN$10,3,FALSE)</f>
        <v>72</v>
      </c>
      <c r="AD140" s="90">
        <f>T140-HLOOKUP(V140,Minimas!$C$1:$BN$10,4,FALSE)</f>
        <v>52</v>
      </c>
      <c r="AE140" s="90">
        <f>T140-HLOOKUP(V140,Minimas!$C$1:$BN$10,5,FALSE)</f>
        <v>32</v>
      </c>
      <c r="AF140" s="90">
        <f>T140-HLOOKUP(V140,Minimas!$C$1:$BN$10,6,FALSE)</f>
        <v>2</v>
      </c>
      <c r="AG140" s="90">
        <f>T140-HLOOKUP(V140,Minimas!$C$1:$BN$10,7,FALSE)</f>
        <v>-23</v>
      </c>
      <c r="AH140" s="90">
        <f>T140-HLOOKUP(V140,Minimas!$C$1:$BN$10,8,FALSE)</f>
        <v>-43</v>
      </c>
      <c r="AI140" s="90">
        <f>T140-HLOOKUP(V140,Minimas!$C$1:$BN$10,9,FALSE)</f>
        <v>-68</v>
      </c>
      <c r="AJ140" s="90">
        <f>T140-HLOOKUP(V140,Minimas!$C$1:$BN$10,10,FALSE)</f>
        <v>-88</v>
      </c>
      <c r="AK140" s="91" t="str">
        <f t="shared" si="188"/>
        <v>FED +</v>
      </c>
      <c r="AM140" s="5" t="str">
        <f t="shared" si="196"/>
        <v>FED +</v>
      </c>
      <c r="AN140" s="5">
        <f t="shared" si="197"/>
        <v>2</v>
      </c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</row>
    <row r="141" spans="1:123" s="5" customFormat="1" ht="27.95" customHeight="1" x14ac:dyDescent="0.2">
      <c r="B141" s="148" t="s">
        <v>189</v>
      </c>
      <c r="C141" s="161">
        <v>122820</v>
      </c>
      <c r="D141" s="92">
        <v>9</v>
      </c>
      <c r="E141" s="84" t="s">
        <v>70</v>
      </c>
      <c r="F141" s="36" t="s">
        <v>297</v>
      </c>
      <c r="G141" s="37" t="s">
        <v>685</v>
      </c>
      <c r="H141" s="92">
        <v>1988</v>
      </c>
      <c r="I141" s="192" t="s">
        <v>558</v>
      </c>
      <c r="J141" s="35" t="s">
        <v>108</v>
      </c>
      <c r="K141" s="103">
        <v>83.3</v>
      </c>
      <c r="L141" s="38">
        <v>111</v>
      </c>
      <c r="M141" s="39">
        <v>-115</v>
      </c>
      <c r="N141" s="39" t="s">
        <v>126</v>
      </c>
      <c r="O141" s="54">
        <f t="shared" si="191"/>
        <v>111</v>
      </c>
      <c r="P141" s="53">
        <v>-145</v>
      </c>
      <c r="Q141" s="53">
        <v>145</v>
      </c>
      <c r="R141" s="53" t="s">
        <v>126</v>
      </c>
      <c r="S141" s="54">
        <f t="shared" si="192"/>
        <v>145</v>
      </c>
      <c r="T141" s="55">
        <f t="shared" si="193"/>
        <v>256</v>
      </c>
      <c r="U141" s="56" t="str">
        <f t="shared" si="194"/>
        <v>FED + 1</v>
      </c>
      <c r="V141" s="86" t="str">
        <f>IF(E141=0," ",IF(E141="H",IF(OR(E141="SEN",H141&lt;1998),VLOOKUP(K141,Minimas!$A$11:$G$29,6),IF(AND(H141&gt;1997,H141&lt;2001),VLOOKUP(K141,Minimas!$A$11:$G$29,5),IF(AND(H141&gt;2000,H141&lt;2003),VLOOKUP(K141,Minimas!$A$11:$G$29,4),IF(AND(H141&gt;2002,H141&lt;2005),VLOOKUP(K141,Minimas!$A$11:$G$29,3),VLOOKUP(K141,Minimas!$A$11:$G$29,2))))),IF(OR(H141="SEN",H141&lt;1998),VLOOKUP(K141,Minimas!$G$11:$L$26,6),IF(AND(H141&gt;1997,H141&lt;2001),VLOOKUP(K141,Minimas!$G$11:$L$26,5),IF(AND(H141&gt;2000,H141&lt;2003),VLOOKUP(K141,Minimas!$G$11:$L$26,4),IF(AND(H141&gt;2002,H141&lt;2005),VLOOKUP(K141,Minimas!$G$11:$L$26,3),VLOOKUP(K141,Minimas!$G$11:$L$26,2)))))))</f>
        <v>S 85</v>
      </c>
      <c r="W141" s="62">
        <f t="shared" si="195"/>
        <v>306.90688427769021</v>
      </c>
      <c r="X141" s="63"/>
      <c r="Y141" s="157" t="s">
        <v>131</v>
      </c>
      <c r="AB141" s="90">
        <f>T141-HLOOKUP(V141,Minimas!$C$1:$BN$10,2,FALSE)</f>
        <v>91</v>
      </c>
      <c r="AC141" s="90">
        <f>T141-HLOOKUP(V141,Minimas!$C$1:$BN$10,3,FALSE)</f>
        <v>71</v>
      </c>
      <c r="AD141" s="90">
        <f>T141-HLOOKUP(V141,Minimas!$C$1:$BN$10,4,FALSE)</f>
        <v>51</v>
      </c>
      <c r="AE141" s="90">
        <f>T141-HLOOKUP(V141,Minimas!$C$1:$BN$10,5,FALSE)</f>
        <v>31</v>
      </c>
      <c r="AF141" s="90">
        <f>T141-HLOOKUP(V141,Minimas!$C$1:$BN$10,6,FALSE)</f>
        <v>1</v>
      </c>
      <c r="AG141" s="90">
        <f>T141-HLOOKUP(V141,Minimas!$C$1:$BN$10,7,FALSE)</f>
        <v>-24</v>
      </c>
      <c r="AH141" s="90">
        <f>T141-HLOOKUP(V141,Minimas!$C$1:$BN$10,8,FALSE)</f>
        <v>-44</v>
      </c>
      <c r="AI141" s="90">
        <f>T141-HLOOKUP(V141,Minimas!$C$1:$BN$10,9,FALSE)</f>
        <v>-69</v>
      </c>
      <c r="AJ141" s="90">
        <f>T141-HLOOKUP(V141,Minimas!$C$1:$BN$10,10,FALSE)</f>
        <v>-89</v>
      </c>
      <c r="AK141" s="91" t="str">
        <f t="shared" si="188"/>
        <v>FED +</v>
      </c>
      <c r="AM141" s="5" t="str">
        <f t="shared" si="196"/>
        <v>FED +</v>
      </c>
      <c r="AN141" s="5">
        <f t="shared" si="197"/>
        <v>1</v>
      </c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</row>
    <row r="142" spans="1:123" s="5" customFormat="1" ht="27.95" customHeight="1" x14ac:dyDescent="0.2">
      <c r="B142" s="148" t="s">
        <v>123</v>
      </c>
      <c r="C142" s="161">
        <v>246713</v>
      </c>
      <c r="D142" s="92">
        <v>10</v>
      </c>
      <c r="E142" s="84" t="s">
        <v>70</v>
      </c>
      <c r="F142" s="36" t="s">
        <v>298</v>
      </c>
      <c r="G142" s="37" t="s">
        <v>686</v>
      </c>
      <c r="H142" s="92">
        <v>1987</v>
      </c>
      <c r="I142" s="192" t="s">
        <v>144</v>
      </c>
      <c r="J142" s="35" t="s">
        <v>108</v>
      </c>
      <c r="K142" s="103">
        <v>82.9</v>
      </c>
      <c r="L142" s="38">
        <v>95</v>
      </c>
      <c r="M142" s="39">
        <v>102</v>
      </c>
      <c r="N142" s="39">
        <v>-107</v>
      </c>
      <c r="O142" s="54">
        <f t="shared" si="191"/>
        <v>102</v>
      </c>
      <c r="P142" s="53">
        <v>137</v>
      </c>
      <c r="Q142" s="53">
        <v>146</v>
      </c>
      <c r="R142" s="53">
        <v>153</v>
      </c>
      <c r="S142" s="54">
        <f t="shared" si="192"/>
        <v>153</v>
      </c>
      <c r="T142" s="55">
        <f t="shared" si="193"/>
        <v>255</v>
      </c>
      <c r="U142" s="56" t="str">
        <f t="shared" si="194"/>
        <v>FED + 0</v>
      </c>
      <c r="V142" s="86" t="str">
        <f>IF(E142=0," ",IF(E142="H",IF(OR(E142="SEN",H142&lt;1998),VLOOKUP(K142,Minimas!$A$11:$G$29,6),IF(AND(H142&gt;1997,H142&lt;2001),VLOOKUP(K142,Minimas!$A$11:$G$29,5),IF(AND(H142&gt;2000,H142&lt;2003),VLOOKUP(K142,Minimas!$A$11:$G$29,4),IF(AND(H142&gt;2002,H142&lt;2005),VLOOKUP(K142,Minimas!$A$11:$G$29,3),VLOOKUP(K142,Minimas!$A$11:$G$29,2))))),IF(OR(H142="SEN",H142&lt;1998),VLOOKUP(K142,Minimas!$G$11:$L$26,6),IF(AND(H142&gt;1997,H142&lt;2001),VLOOKUP(K142,Minimas!$G$11:$L$26,5),IF(AND(H142&gt;2000,H142&lt;2003),VLOOKUP(K142,Minimas!$G$11:$L$26,4),IF(AND(H142&gt;2002,H142&lt;2005),VLOOKUP(K142,Minimas!$G$11:$L$26,3),VLOOKUP(K142,Minimas!$G$11:$L$26,2)))))))</f>
        <v>S 85</v>
      </c>
      <c r="W142" s="62">
        <f t="shared" si="195"/>
        <v>306.42743138602299</v>
      </c>
      <c r="X142" s="63"/>
      <c r="Y142" s="157" t="s">
        <v>131</v>
      </c>
      <c r="AB142" s="90">
        <f>T142-HLOOKUP(V142,Minimas!$C$1:$BN$10,2,FALSE)</f>
        <v>90</v>
      </c>
      <c r="AC142" s="90">
        <f>T142-HLOOKUP(V142,Minimas!$C$1:$BN$10,3,FALSE)</f>
        <v>70</v>
      </c>
      <c r="AD142" s="90">
        <f>T142-HLOOKUP(V142,Minimas!$C$1:$BN$10,4,FALSE)</f>
        <v>50</v>
      </c>
      <c r="AE142" s="90">
        <f>T142-HLOOKUP(V142,Minimas!$C$1:$BN$10,5,FALSE)</f>
        <v>30</v>
      </c>
      <c r="AF142" s="90">
        <f>T142-HLOOKUP(V142,Minimas!$C$1:$BN$10,6,FALSE)</f>
        <v>0</v>
      </c>
      <c r="AG142" s="90">
        <f>T142-HLOOKUP(V142,Minimas!$C$1:$BN$10,7,FALSE)</f>
        <v>-25</v>
      </c>
      <c r="AH142" s="90">
        <f>T142-HLOOKUP(V142,Minimas!$C$1:$BN$10,8,FALSE)</f>
        <v>-45</v>
      </c>
      <c r="AI142" s="90">
        <f>T142-HLOOKUP(V142,Minimas!$C$1:$BN$10,9,FALSE)</f>
        <v>-70</v>
      </c>
      <c r="AJ142" s="90">
        <f>T142-HLOOKUP(V142,Minimas!$C$1:$BN$10,10,FALSE)</f>
        <v>-90</v>
      </c>
      <c r="AK142" s="91" t="str">
        <f t="shared" si="188"/>
        <v>FED +</v>
      </c>
      <c r="AM142" s="5" t="str">
        <f t="shared" si="196"/>
        <v>FED +</v>
      </c>
      <c r="AN142" s="5">
        <f t="shared" si="197"/>
        <v>0</v>
      </c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7"/>
      <c r="BS142" s="97"/>
      <c r="BT142" s="97"/>
      <c r="BU142" s="97"/>
      <c r="BV142" s="97"/>
      <c r="BW142" s="97"/>
      <c r="BX142" s="97"/>
    </row>
    <row r="143" spans="1:123" s="5" customFormat="1" ht="27.95" customHeight="1" x14ac:dyDescent="0.2">
      <c r="B143" s="148" t="s">
        <v>189</v>
      </c>
      <c r="C143" s="161">
        <v>361769</v>
      </c>
      <c r="D143" s="92">
        <v>11</v>
      </c>
      <c r="E143" s="84" t="s">
        <v>70</v>
      </c>
      <c r="F143" s="36" t="s">
        <v>299</v>
      </c>
      <c r="G143" s="37" t="s">
        <v>300</v>
      </c>
      <c r="H143" s="92">
        <v>1996</v>
      </c>
      <c r="I143" s="192" t="s">
        <v>549</v>
      </c>
      <c r="J143" s="35" t="s">
        <v>108</v>
      </c>
      <c r="K143" s="103">
        <v>84.5</v>
      </c>
      <c r="L143" s="38">
        <v>100</v>
      </c>
      <c r="M143" s="39">
        <v>105</v>
      </c>
      <c r="N143" s="39">
        <v>110</v>
      </c>
      <c r="O143" s="54">
        <f t="shared" si="191"/>
        <v>110</v>
      </c>
      <c r="P143" s="53">
        <v>138</v>
      </c>
      <c r="Q143" s="53">
        <v>-145</v>
      </c>
      <c r="R143" s="53">
        <v>145</v>
      </c>
      <c r="S143" s="54">
        <f t="shared" si="192"/>
        <v>145</v>
      </c>
      <c r="T143" s="55">
        <f t="shared" si="193"/>
        <v>255</v>
      </c>
      <c r="U143" s="56" t="str">
        <f t="shared" si="194"/>
        <v>FED + 0</v>
      </c>
      <c r="V143" s="86" t="str">
        <f>IF(E143=0," ",IF(E143="H",IF(OR(E143="SEN",H143&lt;1998),VLOOKUP(K143,Minimas!$A$11:$G$29,6),IF(AND(H143&gt;1997,H143&lt;2001),VLOOKUP(K143,Minimas!$A$11:$G$29,5),IF(AND(H143&gt;2000,H143&lt;2003),VLOOKUP(K143,Minimas!$A$11:$G$29,4),IF(AND(H143&gt;2002,H143&lt;2005),VLOOKUP(K143,Minimas!$A$11:$G$29,3),VLOOKUP(K143,Minimas!$A$11:$G$29,2))))),IF(OR(H143="SEN",H143&lt;1998),VLOOKUP(K143,Minimas!$G$11:$L$26,6),IF(AND(H143&gt;1997,H143&lt;2001),VLOOKUP(K143,Minimas!$G$11:$L$26,5),IF(AND(H143&gt;2000,H143&lt;2003),VLOOKUP(K143,Minimas!$G$11:$L$26,4),IF(AND(H143&gt;2002,H143&lt;2005),VLOOKUP(K143,Minimas!$G$11:$L$26,3),VLOOKUP(K143,Minimas!$G$11:$L$26,2)))))))</f>
        <v>S 85</v>
      </c>
      <c r="W143" s="62">
        <f t="shared" si="195"/>
        <v>303.60742760850451</v>
      </c>
      <c r="X143" s="63"/>
      <c r="Y143" s="157" t="s">
        <v>131</v>
      </c>
      <c r="AB143" s="90">
        <f>T143-HLOOKUP(V143,Minimas!$C$1:$BN$10,2,FALSE)</f>
        <v>90</v>
      </c>
      <c r="AC143" s="90">
        <f>T143-HLOOKUP(V143,Minimas!$C$1:$BN$10,3,FALSE)</f>
        <v>70</v>
      </c>
      <c r="AD143" s="90">
        <f>T143-HLOOKUP(V143,Minimas!$C$1:$BN$10,4,FALSE)</f>
        <v>50</v>
      </c>
      <c r="AE143" s="90">
        <f>T143-HLOOKUP(V143,Minimas!$C$1:$BN$10,5,FALSE)</f>
        <v>30</v>
      </c>
      <c r="AF143" s="90">
        <f>T143-HLOOKUP(V143,Minimas!$C$1:$BN$10,6,FALSE)</f>
        <v>0</v>
      </c>
      <c r="AG143" s="90">
        <f>T143-HLOOKUP(V143,Minimas!$C$1:$BN$10,7,FALSE)</f>
        <v>-25</v>
      </c>
      <c r="AH143" s="90">
        <f>T143-HLOOKUP(V143,Minimas!$C$1:$BN$10,8,FALSE)</f>
        <v>-45</v>
      </c>
      <c r="AI143" s="90">
        <f>T143-HLOOKUP(V143,Minimas!$C$1:$BN$10,9,FALSE)</f>
        <v>-70</v>
      </c>
      <c r="AJ143" s="90">
        <f>T143-HLOOKUP(V143,Minimas!$C$1:$BN$10,10,FALSE)</f>
        <v>-90</v>
      </c>
      <c r="AK143" s="91" t="str">
        <f t="shared" si="188"/>
        <v>FED +</v>
      </c>
      <c r="AM143" s="5" t="str">
        <f t="shared" si="196"/>
        <v>FED +</v>
      </c>
      <c r="AN143" s="5">
        <f t="shared" si="197"/>
        <v>0</v>
      </c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</row>
    <row r="144" spans="1:123" s="5" customFormat="1" ht="27.95" customHeight="1" thickBot="1" x14ac:dyDescent="0.25">
      <c r="B144" s="148" t="s">
        <v>124</v>
      </c>
      <c r="C144" s="161">
        <v>371999</v>
      </c>
      <c r="D144" s="92">
        <v>12</v>
      </c>
      <c r="E144" s="84" t="s">
        <v>70</v>
      </c>
      <c r="F144" s="36" t="s">
        <v>418</v>
      </c>
      <c r="G144" s="37" t="s">
        <v>687</v>
      </c>
      <c r="H144" s="92">
        <v>1994</v>
      </c>
      <c r="I144" s="192" t="s">
        <v>544</v>
      </c>
      <c r="J144" s="35" t="s">
        <v>108</v>
      </c>
      <c r="K144" s="103">
        <v>81.599999999999994</v>
      </c>
      <c r="L144" s="38">
        <v>120</v>
      </c>
      <c r="M144" s="39" t="s">
        <v>126</v>
      </c>
      <c r="N144" s="39" t="s">
        <v>126</v>
      </c>
      <c r="O144" s="54">
        <f t="shared" si="191"/>
        <v>120</v>
      </c>
      <c r="P144" s="53">
        <v>135</v>
      </c>
      <c r="Q144" s="53" t="s">
        <v>126</v>
      </c>
      <c r="R144" s="53" t="s">
        <v>126</v>
      </c>
      <c r="S144" s="54">
        <f t="shared" si="192"/>
        <v>135</v>
      </c>
      <c r="T144" s="55">
        <f t="shared" si="193"/>
        <v>255</v>
      </c>
      <c r="U144" s="56" t="str">
        <f t="shared" si="194"/>
        <v>FED + 0</v>
      </c>
      <c r="V144" s="86" t="str">
        <f>IF(E144=0," ",IF(E144="H",IF(OR(E144="SEN",H144&lt;1998),VLOOKUP(K144,Minimas!$A$11:$G$29,6),IF(AND(H144&gt;1997,H144&lt;2001),VLOOKUP(K144,Minimas!$A$11:$G$29,5),IF(AND(H144&gt;2000,H144&lt;2003),VLOOKUP(K144,Minimas!$A$11:$G$29,4),IF(AND(H144&gt;2002,H144&lt;2005),VLOOKUP(K144,Minimas!$A$11:$G$29,3),VLOOKUP(K144,Minimas!$A$11:$G$29,2))))),IF(OR(H144="SEN",H144&lt;1998),VLOOKUP(K144,Minimas!$G$11:$L$26,6),IF(AND(H144&gt;1997,H144&lt;2001),VLOOKUP(K144,Minimas!$G$11:$L$26,5),IF(AND(H144&gt;2000,H144&lt;2003),VLOOKUP(K144,Minimas!$G$11:$L$26,4),IF(AND(H144&gt;2002,H144&lt;2005),VLOOKUP(K144,Minimas!$G$11:$L$26,3),VLOOKUP(K144,Minimas!$G$11:$L$26,2)))))))</f>
        <v>S 85</v>
      </c>
      <c r="W144" s="62">
        <f t="shared" si="195"/>
        <v>308.8344900907299</v>
      </c>
      <c r="X144" s="63"/>
      <c r="Y144" s="156" t="s">
        <v>319</v>
      </c>
      <c r="AB144" s="90">
        <f>T144-HLOOKUP(V144,Minimas!$C$1:$BN$10,2,FALSE)</f>
        <v>90</v>
      </c>
      <c r="AC144" s="90">
        <f>T144-HLOOKUP(V144,Minimas!$C$1:$BN$10,3,FALSE)</f>
        <v>70</v>
      </c>
      <c r="AD144" s="90">
        <f>T144-HLOOKUP(V144,Minimas!$C$1:$BN$10,4,FALSE)</f>
        <v>50</v>
      </c>
      <c r="AE144" s="90">
        <f>T144-HLOOKUP(V144,Minimas!$C$1:$BN$10,5,FALSE)</f>
        <v>30</v>
      </c>
      <c r="AF144" s="90">
        <f>T144-HLOOKUP(V144,Minimas!$C$1:$BN$10,6,FALSE)</f>
        <v>0</v>
      </c>
      <c r="AG144" s="90">
        <f>T144-HLOOKUP(V144,Minimas!$C$1:$BN$10,7,FALSE)</f>
        <v>-25</v>
      </c>
      <c r="AH144" s="90">
        <f>T144-HLOOKUP(V144,Minimas!$C$1:$BN$10,8,FALSE)</f>
        <v>-45</v>
      </c>
      <c r="AI144" s="90">
        <f>T144-HLOOKUP(V144,Minimas!$C$1:$BN$10,9,FALSE)</f>
        <v>-70</v>
      </c>
      <c r="AJ144" s="90">
        <f>T144-HLOOKUP(V144,Minimas!$C$1:$BN$10,10,FALSE)</f>
        <v>-90</v>
      </c>
      <c r="AK144" s="91" t="str">
        <f t="shared" si="188"/>
        <v>FED +</v>
      </c>
      <c r="AM144" s="5" t="str">
        <f t="shared" si="196"/>
        <v>FED +</v>
      </c>
      <c r="AN144" s="5">
        <f t="shared" si="197"/>
        <v>0</v>
      </c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</row>
    <row r="145" spans="1:123" s="11" customFormat="1" ht="5.0999999999999996" customHeight="1" thickBot="1" x14ac:dyDescent="0.25">
      <c r="A145" s="8"/>
      <c r="B145" s="147"/>
      <c r="C145" s="160"/>
      <c r="D145" s="41"/>
      <c r="E145" s="41"/>
      <c r="F145" s="42"/>
      <c r="G145" s="43"/>
      <c r="H145" s="44"/>
      <c r="I145" s="193"/>
      <c r="J145" s="40"/>
      <c r="K145" s="101"/>
      <c r="L145" s="45"/>
      <c r="M145" s="45"/>
      <c r="N145" s="45"/>
      <c r="O145" s="46"/>
      <c r="P145" s="45"/>
      <c r="Q145" s="45"/>
      <c r="R145" s="45"/>
      <c r="S145" s="46"/>
      <c r="T145" s="46"/>
      <c r="U145" s="41"/>
      <c r="V145" s="48"/>
      <c r="W145" s="47"/>
      <c r="X145" s="7"/>
      <c r="Y145" s="154"/>
      <c r="Z145" s="7"/>
      <c r="AA145" s="7"/>
      <c r="AB145" s="89" t="s">
        <v>60</v>
      </c>
      <c r="AC145" s="89" t="s">
        <v>61</v>
      </c>
      <c r="AD145" s="89" t="s">
        <v>62</v>
      </c>
      <c r="AE145" s="89" t="s">
        <v>63</v>
      </c>
      <c r="AF145" s="89" t="s">
        <v>64</v>
      </c>
      <c r="AG145" s="89" t="s">
        <v>65</v>
      </c>
      <c r="AH145" s="89" t="s">
        <v>66</v>
      </c>
      <c r="AI145" s="89" t="s">
        <v>67</v>
      </c>
      <c r="AJ145" s="89" t="s">
        <v>68</v>
      </c>
      <c r="AK145" s="89"/>
      <c r="AL145" s="7"/>
      <c r="AM145" s="7"/>
      <c r="AN145" s="7"/>
      <c r="AO145" s="7"/>
      <c r="AP145" s="7"/>
      <c r="AQ145" s="95"/>
      <c r="AR145" s="95"/>
      <c r="AS145" s="95"/>
      <c r="AT145" s="95"/>
      <c r="AU145" s="95"/>
      <c r="AV145" s="95"/>
      <c r="AW145" s="95"/>
      <c r="AX145" s="95"/>
      <c r="AY145" s="95"/>
      <c r="AZ145" s="95"/>
      <c r="BA145" s="95"/>
      <c r="BB145" s="95"/>
      <c r="BC145" s="95"/>
      <c r="BD145" s="95"/>
      <c r="BE145" s="95"/>
      <c r="BF145" s="95"/>
      <c r="BG145" s="95"/>
      <c r="BH145" s="95"/>
      <c r="BI145" s="95"/>
      <c r="BJ145" s="95"/>
      <c r="BK145" s="95"/>
      <c r="BL145" s="95"/>
      <c r="BM145" s="95"/>
      <c r="BN145" s="95"/>
      <c r="BO145" s="95"/>
      <c r="BP145" s="95"/>
      <c r="BQ145" s="95"/>
      <c r="BR145" s="95"/>
      <c r="BS145" s="95"/>
      <c r="BT145" s="95"/>
      <c r="BU145" s="95"/>
      <c r="BV145" s="95"/>
      <c r="BW145" s="95"/>
      <c r="BX145" s="95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</row>
    <row r="146" spans="1:123" s="5" customFormat="1" ht="27.95" customHeight="1" x14ac:dyDescent="0.2">
      <c r="B146" s="150" t="s">
        <v>121</v>
      </c>
      <c r="C146" s="163">
        <v>273516</v>
      </c>
      <c r="D146" s="128">
        <v>1</v>
      </c>
      <c r="E146" s="129" t="s">
        <v>70</v>
      </c>
      <c r="F146" s="130" t="s">
        <v>518</v>
      </c>
      <c r="G146" s="131" t="s">
        <v>519</v>
      </c>
      <c r="H146" s="128">
        <v>1985</v>
      </c>
      <c r="I146" s="199" t="s">
        <v>548</v>
      </c>
      <c r="J146" s="132" t="s">
        <v>108</v>
      </c>
      <c r="K146" s="133">
        <v>85.9</v>
      </c>
      <c r="L146" s="134">
        <v>117</v>
      </c>
      <c r="M146" s="135">
        <v>-122</v>
      </c>
      <c r="N146" s="135">
        <v>122</v>
      </c>
      <c r="O146" s="136">
        <f t="shared" ref="O146:O156" si="198">IF(E146="","",IF(MAXA(L146:N146)&lt;=0,0,MAXA(L146:N146)))</f>
        <v>122</v>
      </c>
      <c r="P146" s="137">
        <v>155</v>
      </c>
      <c r="Q146" s="137">
        <v>160</v>
      </c>
      <c r="R146" s="137">
        <v>-163</v>
      </c>
      <c r="S146" s="136">
        <f t="shared" ref="S146:S156" si="199">IF(E146="","",IF(MAXA(P146:R146)&lt;=0,0,MAXA(P146:R146)))</f>
        <v>160</v>
      </c>
      <c r="T146" s="138">
        <f t="shared" ref="T146:T156" si="200">IF(E146="","",IF(OR(O146=0,S146=0),0,O146+S146))</f>
        <v>282</v>
      </c>
      <c r="U146" s="139" t="str">
        <f t="shared" ref="U146:U156" si="201">+CONCATENATE(AM146," ",AN146)</f>
        <v>FED + 17</v>
      </c>
      <c r="V146" s="140" t="str">
        <f>IF(E146=0," ",IF(E146="H",IF(OR(E146="SEN",H146&lt;1998),VLOOKUP(K146,Minimas!$A$11:$G$29,6),IF(AND(H146&gt;1997,H146&lt;2001),VLOOKUP(K146,Minimas!$A$11:$G$29,5),IF(AND(H146&gt;2000,H146&lt;2003),VLOOKUP(K146,Minimas!$A$11:$G$29,4),IF(AND(H146&gt;2002,H146&lt;2005),VLOOKUP(K146,Minimas!$A$11:$G$29,3),VLOOKUP(K146,Minimas!$A$11:$G$29,2))))),IF(OR(H146="SEN",H146&lt;1998),VLOOKUP(K146,Minimas!$G$11:$L$26,6),IF(AND(H146&gt;1997,H146&lt;2001),VLOOKUP(K146,Minimas!$G$11:$L$26,5),IF(AND(H146&gt;2000,H146&lt;2003),VLOOKUP(K146,Minimas!$G$11:$L$26,4),IF(AND(H146&gt;2002,H146&lt;2005),VLOOKUP(K146,Minimas!$G$11:$L$26,3),VLOOKUP(K146,Minimas!$G$11:$L$26,2)))))))</f>
        <v>S 94</v>
      </c>
      <c r="W146" s="141">
        <f t="shared" ref="W146:W156" si="202">IF(E146=" "," ",IF(E146="H",10^(0.75194503*LOG(K146/175.508)^2)*T146,IF(E146="F",10^(0.783497476* LOG(K146/153.655)^2)*T146,"")))</f>
        <v>333.15988747007805</v>
      </c>
      <c r="X146" s="63"/>
      <c r="Y146" s="155" t="s">
        <v>441</v>
      </c>
      <c r="AB146" s="90">
        <f>T146-HLOOKUP(V146,Minimas!$C$1:$BN$10,2,FALSE)</f>
        <v>112</v>
      </c>
      <c r="AC146" s="90">
        <f>T146-HLOOKUP(V146,Minimas!$C$1:$BN$10,3,FALSE)</f>
        <v>92</v>
      </c>
      <c r="AD146" s="90">
        <f>T146-HLOOKUP(V146,Minimas!$C$1:$BN$10,4,FALSE)</f>
        <v>67</v>
      </c>
      <c r="AE146" s="90">
        <f>T146-HLOOKUP(V146,Minimas!$C$1:$BN$10,5,FALSE)</f>
        <v>47</v>
      </c>
      <c r="AF146" s="90">
        <f>T146-HLOOKUP(V146,Minimas!$C$1:$BN$10,6,FALSE)</f>
        <v>17</v>
      </c>
      <c r="AG146" s="90">
        <f>T146-HLOOKUP(V146,Minimas!$C$1:$BN$10,7,FALSE)</f>
        <v>-8</v>
      </c>
      <c r="AH146" s="90">
        <f>T146-HLOOKUP(V146,Minimas!$C$1:$BN$10,8,FALSE)</f>
        <v>-28</v>
      </c>
      <c r="AI146" s="90">
        <f>T146-HLOOKUP(V146,Minimas!$C$1:$BN$10,9,FALSE)</f>
        <v>-48</v>
      </c>
      <c r="AJ146" s="90">
        <f>T146-HLOOKUP(V146,Minimas!$C$1:$BN$10,10,FALSE)</f>
        <v>-73</v>
      </c>
      <c r="AK146" s="91" t="str">
        <f t="shared" ref="AK146:AK156" si="203">IF(E146=0," ",IF(AJ146&gt;=0,$AJ$5,IF(AI146&gt;=0,$AI$5,IF(AH146&gt;=0,$AH$5,IF(AG146&gt;=0,$AG$5,IF(AF146&gt;=0,$AF$5,IF(AE146&gt;=0,$AE$5,IF(AD146&gt;=0,$AD$5,IF(AC146&gt;=0,$AC$5,$AB$5)))))))))</f>
        <v>FED +</v>
      </c>
      <c r="AM146" s="5" t="str">
        <f t="shared" ref="AM146:AM156" si="204">IF(AK146="","",AK146)</f>
        <v>FED +</v>
      </c>
      <c r="AN146" s="5">
        <f t="shared" ref="AN146:AN156" si="205">IF(E146=0," ",IF(AJ146&gt;=0,AJ146,IF(AI146&gt;=0,AI146,IF(AH146&gt;=0,AH146,IF(AG146&gt;=0,AG146,IF(AF146&gt;=0,AF146,IF(AE146&gt;=0,AE146,IF(AD146&gt;=0,AD146,IF(AC146&gt;=0,AC146,AB146)))))))))</f>
        <v>17</v>
      </c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</row>
    <row r="147" spans="1:123" s="5" customFormat="1" ht="27.95" customHeight="1" x14ac:dyDescent="0.2">
      <c r="B147" s="148" t="s">
        <v>189</v>
      </c>
      <c r="C147" s="161">
        <v>361769</v>
      </c>
      <c r="D147" s="92">
        <v>2</v>
      </c>
      <c r="E147" s="84" t="s">
        <v>70</v>
      </c>
      <c r="F147" s="36" t="s">
        <v>299</v>
      </c>
      <c r="G147" s="37" t="s">
        <v>300</v>
      </c>
      <c r="H147" s="92">
        <v>1996</v>
      </c>
      <c r="I147" s="192" t="s">
        <v>549</v>
      </c>
      <c r="J147" s="35" t="s">
        <v>108</v>
      </c>
      <c r="K147" s="103">
        <v>87.9</v>
      </c>
      <c r="L147" s="38">
        <v>110</v>
      </c>
      <c r="M147" s="39">
        <v>115</v>
      </c>
      <c r="N147" s="39">
        <v>-120</v>
      </c>
      <c r="O147" s="54">
        <f t="shared" si="198"/>
        <v>115</v>
      </c>
      <c r="P147" s="53">
        <v>155</v>
      </c>
      <c r="Q147" s="53">
        <v>-161</v>
      </c>
      <c r="R147" s="53">
        <v>165</v>
      </c>
      <c r="S147" s="54">
        <f t="shared" si="199"/>
        <v>165</v>
      </c>
      <c r="T147" s="55">
        <f t="shared" si="200"/>
        <v>280</v>
      </c>
      <c r="U147" s="56" t="str">
        <f t="shared" si="201"/>
        <v>FED + 15</v>
      </c>
      <c r="V147" s="86" t="str">
        <f>IF(E147=0," ",IF(E147="H",IF(OR(E147="SEN",H147&lt;1998),VLOOKUP(K147,Minimas!$A$11:$G$29,6),IF(AND(H147&gt;1997,H147&lt;2001),VLOOKUP(K147,Minimas!$A$11:$G$29,5),IF(AND(H147&gt;2000,H147&lt;2003),VLOOKUP(K147,Minimas!$A$11:$G$29,4),IF(AND(H147&gt;2002,H147&lt;2005),VLOOKUP(K147,Minimas!$A$11:$G$29,3),VLOOKUP(K147,Minimas!$A$11:$G$29,2))))),IF(OR(H147="SEN",H147&lt;1998),VLOOKUP(K147,Minimas!$G$11:$L$26,6),IF(AND(H147&gt;1997,H147&lt;2001),VLOOKUP(K147,Minimas!$G$11:$L$26,5),IF(AND(H147&gt;2000,H147&lt;2003),VLOOKUP(K147,Minimas!$G$11:$L$26,4),IF(AND(H147&gt;2002,H147&lt;2005),VLOOKUP(K147,Minimas!$G$11:$L$26,3),VLOOKUP(K147,Minimas!$G$11:$L$26,2)))))))</f>
        <v>S 94</v>
      </c>
      <c r="W147" s="62">
        <f t="shared" si="202"/>
        <v>327.31969201571502</v>
      </c>
      <c r="X147" s="63"/>
      <c r="Y147" s="156" t="s">
        <v>319</v>
      </c>
      <c r="AB147" s="90">
        <f>T147-HLOOKUP(V147,Minimas!$C$1:$BN$10,2,FALSE)</f>
        <v>110</v>
      </c>
      <c r="AC147" s="90">
        <f>T147-HLOOKUP(V147,Minimas!$C$1:$BN$10,3,FALSE)</f>
        <v>90</v>
      </c>
      <c r="AD147" s="90">
        <f>T147-HLOOKUP(V147,Minimas!$C$1:$BN$10,4,FALSE)</f>
        <v>65</v>
      </c>
      <c r="AE147" s="90">
        <f>T147-HLOOKUP(V147,Minimas!$C$1:$BN$10,5,FALSE)</f>
        <v>45</v>
      </c>
      <c r="AF147" s="90">
        <f>T147-HLOOKUP(V147,Minimas!$C$1:$BN$10,6,FALSE)</f>
        <v>15</v>
      </c>
      <c r="AG147" s="90">
        <f>T147-HLOOKUP(V147,Minimas!$C$1:$BN$10,7,FALSE)</f>
        <v>-10</v>
      </c>
      <c r="AH147" s="90">
        <f>T147-HLOOKUP(V147,Minimas!$C$1:$BN$10,8,FALSE)</f>
        <v>-30</v>
      </c>
      <c r="AI147" s="90">
        <f>T147-HLOOKUP(V147,Minimas!$C$1:$BN$10,9,FALSE)</f>
        <v>-50</v>
      </c>
      <c r="AJ147" s="90">
        <f>T147-HLOOKUP(V147,Minimas!$C$1:$BN$10,10,FALSE)</f>
        <v>-75</v>
      </c>
      <c r="AK147" s="91" t="str">
        <f t="shared" si="203"/>
        <v>FED +</v>
      </c>
      <c r="AM147" s="5" t="str">
        <f t="shared" si="204"/>
        <v>FED +</v>
      </c>
      <c r="AN147" s="5">
        <f t="shared" si="205"/>
        <v>15</v>
      </c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</row>
    <row r="148" spans="1:123" s="5" customFormat="1" ht="27.95" customHeight="1" x14ac:dyDescent="0.2">
      <c r="B148" s="148" t="s">
        <v>120</v>
      </c>
      <c r="C148" s="161">
        <v>218733</v>
      </c>
      <c r="D148" s="92">
        <v>3</v>
      </c>
      <c r="E148" s="84" t="s">
        <v>70</v>
      </c>
      <c r="F148" s="36" t="s">
        <v>301</v>
      </c>
      <c r="G148" s="37" t="s">
        <v>302</v>
      </c>
      <c r="H148" s="92">
        <v>1992</v>
      </c>
      <c r="I148" s="192" t="s">
        <v>303</v>
      </c>
      <c r="J148" s="35" t="s">
        <v>108</v>
      </c>
      <c r="K148" s="103">
        <v>89.4</v>
      </c>
      <c r="L148" s="38">
        <v>120</v>
      </c>
      <c r="M148" s="39">
        <v>-123</v>
      </c>
      <c r="N148" s="39">
        <v>125</v>
      </c>
      <c r="O148" s="54">
        <f t="shared" si="198"/>
        <v>125</v>
      </c>
      <c r="P148" s="53">
        <v>147</v>
      </c>
      <c r="Q148" s="53">
        <v>-152</v>
      </c>
      <c r="R148" s="53">
        <v>152</v>
      </c>
      <c r="S148" s="54">
        <f t="shared" si="199"/>
        <v>152</v>
      </c>
      <c r="T148" s="55">
        <f t="shared" si="200"/>
        <v>277</v>
      </c>
      <c r="U148" s="56" t="str">
        <f t="shared" si="201"/>
        <v>FED + 12</v>
      </c>
      <c r="V148" s="86" t="str">
        <f>IF(E148=0," ",IF(E148="H",IF(OR(E148="SEN",H148&lt;1998),VLOOKUP(K148,Minimas!$A$11:$G$29,6),IF(AND(H148&gt;1997,H148&lt;2001),VLOOKUP(K148,Minimas!$A$11:$G$29,5),IF(AND(H148&gt;2000,H148&lt;2003),VLOOKUP(K148,Minimas!$A$11:$G$29,4),IF(AND(H148&gt;2002,H148&lt;2005),VLOOKUP(K148,Minimas!$A$11:$G$29,3),VLOOKUP(K148,Minimas!$A$11:$G$29,2))))),IF(OR(H148="SEN",H148&lt;1998),VLOOKUP(K148,Minimas!$G$11:$L$26,6),IF(AND(H148&gt;1997,H148&lt;2001),VLOOKUP(K148,Minimas!$G$11:$L$26,5),IF(AND(H148&gt;2000,H148&lt;2003),VLOOKUP(K148,Minimas!$G$11:$L$26,4),IF(AND(H148&gt;2002,H148&lt;2005),VLOOKUP(K148,Minimas!$G$11:$L$26,3),VLOOKUP(K148,Minimas!$G$11:$L$26,2)))))))</f>
        <v>S 94</v>
      </c>
      <c r="W148" s="62">
        <f t="shared" si="202"/>
        <v>321.37760395593432</v>
      </c>
      <c r="X148" s="63"/>
      <c r="Y148" s="157" t="s">
        <v>131</v>
      </c>
      <c r="AB148" s="90">
        <f>T148-HLOOKUP(V148,Minimas!$C$1:$BN$10,2,FALSE)</f>
        <v>107</v>
      </c>
      <c r="AC148" s="90">
        <f>T148-HLOOKUP(V148,Minimas!$C$1:$BN$10,3,FALSE)</f>
        <v>87</v>
      </c>
      <c r="AD148" s="90">
        <f>T148-HLOOKUP(V148,Minimas!$C$1:$BN$10,4,FALSE)</f>
        <v>62</v>
      </c>
      <c r="AE148" s="90">
        <f>T148-HLOOKUP(V148,Minimas!$C$1:$BN$10,5,FALSE)</f>
        <v>42</v>
      </c>
      <c r="AF148" s="90">
        <f>T148-HLOOKUP(V148,Minimas!$C$1:$BN$10,6,FALSE)</f>
        <v>12</v>
      </c>
      <c r="AG148" s="90">
        <f>T148-HLOOKUP(V148,Minimas!$C$1:$BN$10,7,FALSE)</f>
        <v>-13</v>
      </c>
      <c r="AH148" s="90">
        <f>T148-HLOOKUP(V148,Minimas!$C$1:$BN$10,8,FALSE)</f>
        <v>-33</v>
      </c>
      <c r="AI148" s="90">
        <f>T148-HLOOKUP(V148,Minimas!$C$1:$BN$10,9,FALSE)</f>
        <v>-53</v>
      </c>
      <c r="AJ148" s="90">
        <f>T148-HLOOKUP(V148,Minimas!$C$1:$BN$10,10,FALSE)</f>
        <v>-78</v>
      </c>
      <c r="AK148" s="91" t="str">
        <f t="shared" si="203"/>
        <v>FED +</v>
      </c>
      <c r="AM148" s="5" t="str">
        <f t="shared" si="204"/>
        <v>FED +</v>
      </c>
      <c r="AN148" s="5">
        <f t="shared" si="205"/>
        <v>12</v>
      </c>
      <c r="AQ148" s="97"/>
      <c r="AR148" s="97"/>
      <c r="AS148" s="97"/>
      <c r="AT148" s="97"/>
      <c r="AU148" s="97"/>
      <c r="AV148" s="97"/>
      <c r="AW148" s="97"/>
      <c r="AX148" s="97"/>
      <c r="AY148" s="97"/>
      <c r="AZ148" s="97"/>
      <c r="BA148" s="97"/>
      <c r="BB148" s="97"/>
      <c r="BC148" s="97"/>
      <c r="BD148" s="97"/>
      <c r="BE148" s="97"/>
      <c r="BF148" s="97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7"/>
      <c r="BS148" s="97"/>
      <c r="BT148" s="97"/>
      <c r="BU148" s="97"/>
      <c r="BV148" s="97"/>
      <c r="BW148" s="97"/>
      <c r="BX148" s="97"/>
    </row>
    <row r="149" spans="1:123" s="5" customFormat="1" ht="27.95" customHeight="1" x14ac:dyDescent="0.2">
      <c r="B149" s="148" t="s">
        <v>125</v>
      </c>
      <c r="C149" s="161">
        <v>221151</v>
      </c>
      <c r="D149" s="92">
        <v>4</v>
      </c>
      <c r="E149" s="84" t="s">
        <v>70</v>
      </c>
      <c r="F149" s="36" t="s">
        <v>520</v>
      </c>
      <c r="G149" s="37" t="s">
        <v>688</v>
      </c>
      <c r="H149" s="92">
        <v>1997</v>
      </c>
      <c r="I149" s="192" t="s">
        <v>578</v>
      </c>
      <c r="J149" s="35" t="s">
        <v>108</v>
      </c>
      <c r="K149" s="103">
        <v>93.5</v>
      </c>
      <c r="L149" s="38">
        <v>120</v>
      </c>
      <c r="M149" s="39">
        <v>125</v>
      </c>
      <c r="N149" s="39">
        <v>-128</v>
      </c>
      <c r="O149" s="54">
        <f t="shared" si="198"/>
        <v>125</v>
      </c>
      <c r="P149" s="53">
        <v>150</v>
      </c>
      <c r="Q149" s="53">
        <v>-160</v>
      </c>
      <c r="R149" s="53">
        <v>-165</v>
      </c>
      <c r="S149" s="54">
        <f t="shared" si="199"/>
        <v>150</v>
      </c>
      <c r="T149" s="55">
        <f t="shared" si="200"/>
        <v>275</v>
      </c>
      <c r="U149" s="56" t="str">
        <f t="shared" si="201"/>
        <v>FED + 10</v>
      </c>
      <c r="V149" s="86" t="str">
        <f>IF(E149=0," ",IF(E149="H",IF(OR(E149="SEN",H149&lt;1998),VLOOKUP(K149,Minimas!$A$11:$G$29,6),IF(AND(H149&gt;1997,H149&lt;2001),VLOOKUP(K149,Minimas!$A$11:$G$29,5),IF(AND(H149&gt;2000,H149&lt;2003),VLOOKUP(K149,Minimas!$A$11:$G$29,4),IF(AND(H149&gt;2002,H149&lt;2005),VLOOKUP(K149,Minimas!$A$11:$G$29,3),VLOOKUP(K149,Minimas!$A$11:$G$29,2))))),IF(OR(H149="SEN",H149&lt;1998),VLOOKUP(K149,Minimas!$G$11:$L$26,6),IF(AND(H149&gt;1997,H149&lt;2001),VLOOKUP(K149,Minimas!$G$11:$L$26,5),IF(AND(H149&gt;2000,H149&lt;2003),VLOOKUP(K149,Minimas!$G$11:$L$26,4),IF(AND(H149&gt;2002,H149&lt;2005),VLOOKUP(K149,Minimas!$G$11:$L$26,3),VLOOKUP(K149,Minimas!$G$11:$L$26,2)))))))</f>
        <v>S 94</v>
      </c>
      <c r="W149" s="62">
        <f t="shared" si="202"/>
        <v>313.02125650607013</v>
      </c>
      <c r="X149" s="63"/>
      <c r="Y149" s="155" t="s">
        <v>441</v>
      </c>
      <c r="AB149" s="90">
        <f>T149-HLOOKUP(V149,Minimas!$C$1:$BN$10,2,FALSE)</f>
        <v>105</v>
      </c>
      <c r="AC149" s="90">
        <f>T149-HLOOKUP(V149,Minimas!$C$1:$BN$10,3,FALSE)</f>
        <v>85</v>
      </c>
      <c r="AD149" s="90">
        <f>T149-HLOOKUP(V149,Minimas!$C$1:$BN$10,4,FALSE)</f>
        <v>60</v>
      </c>
      <c r="AE149" s="90">
        <f>T149-HLOOKUP(V149,Minimas!$C$1:$BN$10,5,FALSE)</f>
        <v>40</v>
      </c>
      <c r="AF149" s="90">
        <f>T149-HLOOKUP(V149,Minimas!$C$1:$BN$10,6,FALSE)</f>
        <v>10</v>
      </c>
      <c r="AG149" s="90">
        <f>T149-HLOOKUP(V149,Minimas!$C$1:$BN$10,7,FALSE)</f>
        <v>-15</v>
      </c>
      <c r="AH149" s="90">
        <f>T149-HLOOKUP(V149,Minimas!$C$1:$BN$10,8,FALSE)</f>
        <v>-35</v>
      </c>
      <c r="AI149" s="90">
        <f>T149-HLOOKUP(V149,Minimas!$C$1:$BN$10,9,FALSE)</f>
        <v>-55</v>
      </c>
      <c r="AJ149" s="90">
        <f>T149-HLOOKUP(V149,Minimas!$C$1:$BN$10,10,FALSE)</f>
        <v>-80</v>
      </c>
      <c r="AK149" s="91" t="str">
        <f t="shared" si="203"/>
        <v>FED +</v>
      </c>
      <c r="AM149" s="5" t="str">
        <f t="shared" si="204"/>
        <v>FED +</v>
      </c>
      <c r="AN149" s="5">
        <f t="shared" si="205"/>
        <v>10</v>
      </c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</row>
    <row r="150" spans="1:123" s="5" customFormat="1" ht="27.95" customHeight="1" x14ac:dyDescent="0.2">
      <c r="B150" s="148" t="s">
        <v>432</v>
      </c>
      <c r="C150" s="161">
        <v>384471</v>
      </c>
      <c r="D150" s="92">
        <v>5</v>
      </c>
      <c r="E150" s="84" t="s">
        <v>70</v>
      </c>
      <c r="F150" s="36" t="s">
        <v>437</v>
      </c>
      <c r="G150" s="37" t="s">
        <v>231</v>
      </c>
      <c r="H150" s="92">
        <v>1997</v>
      </c>
      <c r="I150" s="192" t="s">
        <v>575</v>
      </c>
      <c r="J150" s="35" t="s">
        <v>108</v>
      </c>
      <c r="K150" s="103">
        <v>93.7</v>
      </c>
      <c r="L150" s="38">
        <v>120</v>
      </c>
      <c r="M150" s="39">
        <v>-125</v>
      </c>
      <c r="N150" s="39">
        <v>-125</v>
      </c>
      <c r="O150" s="54">
        <f t="shared" si="198"/>
        <v>120</v>
      </c>
      <c r="P150" s="53">
        <v>140</v>
      </c>
      <c r="Q150" s="53">
        <v>145</v>
      </c>
      <c r="R150" s="53">
        <v>150</v>
      </c>
      <c r="S150" s="54">
        <f t="shared" si="199"/>
        <v>150</v>
      </c>
      <c r="T150" s="55">
        <f t="shared" si="200"/>
        <v>270</v>
      </c>
      <c r="U150" s="56" t="str">
        <f t="shared" si="201"/>
        <v>FED + 5</v>
      </c>
      <c r="V150" s="86" t="str">
        <f>IF(E150=0," ",IF(E150="H",IF(OR(E150="SEN",H150&lt;1998),VLOOKUP(K150,Minimas!$A$11:$G$29,6),IF(AND(H150&gt;1997,H150&lt;2001),VLOOKUP(K150,Minimas!$A$11:$G$29,5),IF(AND(H150&gt;2000,H150&lt;2003),VLOOKUP(K150,Minimas!$A$11:$G$29,4),IF(AND(H150&gt;2002,H150&lt;2005),VLOOKUP(K150,Minimas!$A$11:$G$29,3),VLOOKUP(K150,Minimas!$A$11:$G$29,2))))),IF(OR(H150="SEN",H150&lt;1998),VLOOKUP(K150,Minimas!$G$11:$L$26,6),IF(AND(H150&gt;1997,H150&lt;2001),VLOOKUP(K150,Minimas!$G$11:$L$26,5),IF(AND(H150&gt;2000,H150&lt;2003),VLOOKUP(K150,Minimas!$G$11:$L$26,4),IF(AND(H150&gt;2002,H150&lt;2005),VLOOKUP(K150,Minimas!$G$11:$L$26,3),VLOOKUP(K150,Minimas!$G$11:$L$26,2)))))))</f>
        <v>S 94</v>
      </c>
      <c r="W150" s="62">
        <f t="shared" si="202"/>
        <v>307.06044691414644</v>
      </c>
      <c r="X150" s="63"/>
      <c r="Y150" s="156" t="s">
        <v>319</v>
      </c>
      <c r="AB150" s="90">
        <f>T150-HLOOKUP(V150,Minimas!$C$1:$BN$10,2,FALSE)</f>
        <v>100</v>
      </c>
      <c r="AC150" s="90">
        <f>T150-HLOOKUP(V150,Minimas!$C$1:$BN$10,3,FALSE)</f>
        <v>80</v>
      </c>
      <c r="AD150" s="90">
        <f>T150-HLOOKUP(V150,Minimas!$C$1:$BN$10,4,FALSE)</f>
        <v>55</v>
      </c>
      <c r="AE150" s="90">
        <f>T150-HLOOKUP(V150,Minimas!$C$1:$BN$10,5,FALSE)</f>
        <v>35</v>
      </c>
      <c r="AF150" s="90">
        <f>T150-HLOOKUP(V150,Minimas!$C$1:$BN$10,6,FALSE)</f>
        <v>5</v>
      </c>
      <c r="AG150" s="90">
        <f>T150-HLOOKUP(V150,Minimas!$C$1:$BN$10,7,FALSE)</f>
        <v>-20</v>
      </c>
      <c r="AH150" s="90">
        <f>T150-HLOOKUP(V150,Minimas!$C$1:$BN$10,8,FALSE)</f>
        <v>-40</v>
      </c>
      <c r="AI150" s="90">
        <f>T150-HLOOKUP(V150,Minimas!$C$1:$BN$10,9,FALSE)</f>
        <v>-60</v>
      </c>
      <c r="AJ150" s="90">
        <f>T150-HLOOKUP(V150,Minimas!$C$1:$BN$10,10,FALSE)</f>
        <v>-85</v>
      </c>
      <c r="AK150" s="91" t="str">
        <f t="shared" si="203"/>
        <v>FED +</v>
      </c>
      <c r="AM150" s="5" t="str">
        <f t="shared" si="204"/>
        <v>FED +</v>
      </c>
      <c r="AN150" s="5">
        <f t="shared" si="205"/>
        <v>5</v>
      </c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</row>
    <row r="151" spans="1:123" s="5" customFormat="1" ht="27.95" customHeight="1" x14ac:dyDescent="0.2">
      <c r="B151" s="148" t="s">
        <v>123</v>
      </c>
      <c r="C151" s="161">
        <v>399791</v>
      </c>
      <c r="D151" s="92">
        <v>6</v>
      </c>
      <c r="E151" s="84" t="s">
        <v>70</v>
      </c>
      <c r="F151" s="36" t="s">
        <v>419</v>
      </c>
      <c r="G151" s="37" t="s">
        <v>278</v>
      </c>
      <c r="H151" s="92">
        <v>1996</v>
      </c>
      <c r="I151" s="192" t="s">
        <v>136</v>
      </c>
      <c r="J151" s="35" t="s">
        <v>108</v>
      </c>
      <c r="K151" s="103">
        <v>89.5</v>
      </c>
      <c r="L151" s="38">
        <v>115</v>
      </c>
      <c r="M151" s="39">
        <v>120</v>
      </c>
      <c r="N151" s="39">
        <v>-125</v>
      </c>
      <c r="O151" s="54">
        <f t="shared" si="198"/>
        <v>120</v>
      </c>
      <c r="P151" s="53">
        <v>140</v>
      </c>
      <c r="Q151" s="53">
        <v>145</v>
      </c>
      <c r="R151" s="53">
        <v>150</v>
      </c>
      <c r="S151" s="54">
        <f t="shared" si="199"/>
        <v>150</v>
      </c>
      <c r="T151" s="55">
        <f t="shared" si="200"/>
        <v>270</v>
      </c>
      <c r="U151" s="56" t="str">
        <f t="shared" si="201"/>
        <v>FED + 5</v>
      </c>
      <c r="V151" s="86" t="str">
        <f>IF(E151=0," ",IF(E151="H",IF(OR(E151="SEN",H151&lt;1998),VLOOKUP(K151,Minimas!$A$11:$G$29,6),IF(AND(H151&gt;1997,H151&lt;2001),VLOOKUP(K151,Minimas!$A$11:$G$29,5),IF(AND(H151&gt;2000,H151&lt;2003),VLOOKUP(K151,Minimas!$A$11:$G$29,4),IF(AND(H151&gt;2002,H151&lt;2005),VLOOKUP(K151,Minimas!$A$11:$G$29,3),VLOOKUP(K151,Minimas!$A$11:$G$29,2))))),IF(OR(H151="SEN",H151&lt;1998),VLOOKUP(K151,Minimas!$G$11:$L$26,6),IF(AND(H151&gt;1997,H151&lt;2001),VLOOKUP(K151,Minimas!$G$11:$L$26,5),IF(AND(H151&gt;2000,H151&lt;2003),VLOOKUP(K151,Minimas!$G$11:$L$26,4),IF(AND(H151&gt;2002,H151&lt;2005),VLOOKUP(K151,Minimas!$G$11:$L$26,3),VLOOKUP(K151,Minimas!$G$11:$L$26,2)))))))</f>
        <v>S 94</v>
      </c>
      <c r="W151" s="62">
        <f t="shared" si="202"/>
        <v>313.1020222475338</v>
      </c>
      <c r="X151" s="63"/>
      <c r="Y151" s="155" t="s">
        <v>441</v>
      </c>
      <c r="AB151" s="90">
        <f>T151-HLOOKUP(V151,Minimas!$C$1:$BN$10,2,FALSE)</f>
        <v>100</v>
      </c>
      <c r="AC151" s="90">
        <f>T151-HLOOKUP(V151,Minimas!$C$1:$BN$10,3,FALSE)</f>
        <v>80</v>
      </c>
      <c r="AD151" s="90">
        <f>T151-HLOOKUP(V151,Minimas!$C$1:$BN$10,4,FALSE)</f>
        <v>55</v>
      </c>
      <c r="AE151" s="90">
        <f>T151-HLOOKUP(V151,Minimas!$C$1:$BN$10,5,FALSE)</f>
        <v>35</v>
      </c>
      <c r="AF151" s="90">
        <f>T151-HLOOKUP(V151,Minimas!$C$1:$BN$10,6,FALSE)</f>
        <v>5</v>
      </c>
      <c r="AG151" s="90">
        <f>T151-HLOOKUP(V151,Minimas!$C$1:$BN$10,7,FALSE)</f>
        <v>-20</v>
      </c>
      <c r="AH151" s="90">
        <f>T151-HLOOKUP(V151,Minimas!$C$1:$BN$10,8,FALSE)</f>
        <v>-40</v>
      </c>
      <c r="AI151" s="90">
        <f>T151-HLOOKUP(V151,Minimas!$C$1:$BN$10,9,FALSE)</f>
        <v>-60</v>
      </c>
      <c r="AJ151" s="90">
        <f>T151-HLOOKUP(V151,Minimas!$C$1:$BN$10,10,FALSE)</f>
        <v>-85</v>
      </c>
      <c r="AK151" s="91" t="str">
        <f t="shared" si="203"/>
        <v>FED +</v>
      </c>
      <c r="AM151" s="5" t="str">
        <f t="shared" si="204"/>
        <v>FED +</v>
      </c>
      <c r="AN151" s="5">
        <f t="shared" si="205"/>
        <v>5</v>
      </c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</row>
    <row r="152" spans="1:123" s="5" customFormat="1" ht="27.95" customHeight="1" x14ac:dyDescent="0.2">
      <c r="B152" s="148" t="s">
        <v>123</v>
      </c>
      <c r="C152" s="161">
        <v>122522</v>
      </c>
      <c r="D152" s="92">
        <v>7</v>
      </c>
      <c r="E152" s="84" t="s">
        <v>70</v>
      </c>
      <c r="F152" s="36" t="s">
        <v>304</v>
      </c>
      <c r="G152" s="37" t="s">
        <v>689</v>
      </c>
      <c r="H152" s="92">
        <v>1993</v>
      </c>
      <c r="I152" s="192" t="s">
        <v>158</v>
      </c>
      <c r="J152" s="35" t="s">
        <v>108</v>
      </c>
      <c r="K152" s="103">
        <v>92.5</v>
      </c>
      <c r="L152" s="38">
        <v>112</v>
      </c>
      <c r="M152" s="39">
        <v>117</v>
      </c>
      <c r="N152" s="39">
        <v>121</v>
      </c>
      <c r="O152" s="54">
        <f t="shared" si="198"/>
        <v>121</v>
      </c>
      <c r="P152" s="53">
        <v>138</v>
      </c>
      <c r="Q152" s="53">
        <v>145</v>
      </c>
      <c r="R152" s="53">
        <v>-150</v>
      </c>
      <c r="S152" s="54">
        <f t="shared" si="199"/>
        <v>145</v>
      </c>
      <c r="T152" s="55">
        <f t="shared" si="200"/>
        <v>266</v>
      </c>
      <c r="U152" s="56" t="str">
        <f t="shared" si="201"/>
        <v>FED + 1</v>
      </c>
      <c r="V152" s="86" t="str">
        <f>IF(E152=0," ",IF(E152="H",IF(OR(E152="SEN",H152&lt;1998),VLOOKUP(K152,Minimas!$A$11:$G$29,6),IF(AND(H152&gt;1997,H152&lt;2001),VLOOKUP(K152,Minimas!$A$11:$G$29,5),IF(AND(H152&gt;2000,H152&lt;2003),VLOOKUP(K152,Minimas!$A$11:$G$29,4),IF(AND(H152&gt;2002,H152&lt;2005),VLOOKUP(K152,Minimas!$A$11:$G$29,3),VLOOKUP(K152,Minimas!$A$11:$G$29,2))))),IF(OR(H152="SEN",H152&lt;1998),VLOOKUP(K152,Minimas!$G$11:$L$26,6),IF(AND(H152&gt;1997,H152&lt;2001),VLOOKUP(K152,Minimas!$G$11:$L$26,5),IF(AND(H152&gt;2000,H152&lt;2003),VLOOKUP(K152,Minimas!$G$11:$L$26,4),IF(AND(H152&gt;2002,H152&lt;2005),VLOOKUP(K152,Minimas!$G$11:$L$26,3),VLOOKUP(K152,Minimas!$G$11:$L$26,2)))))))</f>
        <v>S 94</v>
      </c>
      <c r="W152" s="62">
        <f t="shared" si="202"/>
        <v>304.13041474825309</v>
      </c>
      <c r="X152" s="63"/>
      <c r="Y152" s="157" t="s">
        <v>131</v>
      </c>
      <c r="AB152" s="90">
        <f>T152-HLOOKUP(V152,Minimas!$C$1:$BN$10,2,FALSE)</f>
        <v>96</v>
      </c>
      <c r="AC152" s="90">
        <f>T152-HLOOKUP(V152,Minimas!$C$1:$BN$10,3,FALSE)</f>
        <v>76</v>
      </c>
      <c r="AD152" s="90">
        <f>T152-HLOOKUP(V152,Minimas!$C$1:$BN$10,4,FALSE)</f>
        <v>51</v>
      </c>
      <c r="AE152" s="90">
        <f>T152-HLOOKUP(V152,Minimas!$C$1:$BN$10,5,FALSE)</f>
        <v>31</v>
      </c>
      <c r="AF152" s="90">
        <f>T152-HLOOKUP(V152,Minimas!$C$1:$BN$10,6,FALSE)</f>
        <v>1</v>
      </c>
      <c r="AG152" s="90">
        <f>T152-HLOOKUP(V152,Minimas!$C$1:$BN$10,7,FALSE)</f>
        <v>-24</v>
      </c>
      <c r="AH152" s="90">
        <f>T152-HLOOKUP(V152,Minimas!$C$1:$BN$10,8,FALSE)</f>
        <v>-44</v>
      </c>
      <c r="AI152" s="90">
        <f>T152-HLOOKUP(V152,Minimas!$C$1:$BN$10,9,FALSE)</f>
        <v>-64</v>
      </c>
      <c r="AJ152" s="90">
        <f>T152-HLOOKUP(V152,Minimas!$C$1:$BN$10,10,FALSE)</f>
        <v>-89</v>
      </c>
      <c r="AK152" s="91" t="str">
        <f t="shared" si="203"/>
        <v>FED +</v>
      </c>
      <c r="AM152" s="5" t="str">
        <f t="shared" si="204"/>
        <v>FED +</v>
      </c>
      <c r="AN152" s="5">
        <f t="shared" si="205"/>
        <v>1</v>
      </c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  <c r="BW152" s="97"/>
      <c r="BX152" s="97"/>
    </row>
    <row r="153" spans="1:123" s="5" customFormat="1" ht="27.95" customHeight="1" x14ac:dyDescent="0.2">
      <c r="B153" s="148" t="s">
        <v>120</v>
      </c>
      <c r="C153" s="161">
        <v>25214</v>
      </c>
      <c r="D153" s="92">
        <v>8</v>
      </c>
      <c r="E153" s="84" t="s">
        <v>70</v>
      </c>
      <c r="F153" s="36" t="s">
        <v>305</v>
      </c>
      <c r="G153" s="37" t="s">
        <v>306</v>
      </c>
      <c r="H153" s="92">
        <v>1985</v>
      </c>
      <c r="I153" s="192" t="s">
        <v>307</v>
      </c>
      <c r="J153" s="35" t="s">
        <v>108</v>
      </c>
      <c r="K153" s="103">
        <v>90.9</v>
      </c>
      <c r="L153" s="38">
        <v>-115</v>
      </c>
      <c r="M153" s="39">
        <v>115</v>
      </c>
      <c r="N153" s="39">
        <v>-120</v>
      </c>
      <c r="O153" s="54">
        <f t="shared" si="198"/>
        <v>115</v>
      </c>
      <c r="P153" s="53">
        <v>140</v>
      </c>
      <c r="Q153" s="53">
        <v>150</v>
      </c>
      <c r="R153" s="53">
        <v>-155</v>
      </c>
      <c r="S153" s="54">
        <f t="shared" si="199"/>
        <v>150</v>
      </c>
      <c r="T153" s="55">
        <f t="shared" si="200"/>
        <v>265</v>
      </c>
      <c r="U153" s="56" t="str">
        <f t="shared" si="201"/>
        <v>FED + 0</v>
      </c>
      <c r="V153" s="86" t="str">
        <f>IF(E153=0," ",IF(E153="H",IF(OR(E153="SEN",H153&lt;1998),VLOOKUP(K153,Minimas!$A$11:$G$29,6),IF(AND(H153&gt;1997,H153&lt;2001),VLOOKUP(K153,Minimas!$A$11:$G$29,5),IF(AND(H153&gt;2000,H153&lt;2003),VLOOKUP(K153,Minimas!$A$11:$G$29,4),IF(AND(H153&gt;2002,H153&lt;2005),VLOOKUP(K153,Minimas!$A$11:$G$29,3),VLOOKUP(K153,Minimas!$A$11:$G$29,2))))),IF(OR(H153="SEN",H153&lt;1998),VLOOKUP(K153,Minimas!$G$11:$L$26,6),IF(AND(H153&gt;1997,H153&lt;2001),VLOOKUP(K153,Minimas!$G$11:$L$26,5),IF(AND(H153&gt;2000,H153&lt;2003),VLOOKUP(K153,Minimas!$G$11:$L$26,4),IF(AND(H153&gt;2002,H153&lt;2005),VLOOKUP(K153,Minimas!$G$11:$L$26,3),VLOOKUP(K153,Minimas!$G$11:$L$26,2)))))))</f>
        <v>S 94</v>
      </c>
      <c r="W153" s="62">
        <f t="shared" si="202"/>
        <v>305.23701498051213</v>
      </c>
      <c r="X153" s="63"/>
      <c r="Y153" s="157" t="s">
        <v>131</v>
      </c>
      <c r="AB153" s="90">
        <f>T153-HLOOKUP(V153,Minimas!$C$1:$BN$10,2,FALSE)</f>
        <v>95</v>
      </c>
      <c r="AC153" s="90">
        <f>T153-HLOOKUP(V153,Minimas!$C$1:$BN$10,3,FALSE)</f>
        <v>75</v>
      </c>
      <c r="AD153" s="90">
        <f>T153-HLOOKUP(V153,Minimas!$C$1:$BN$10,4,FALSE)</f>
        <v>50</v>
      </c>
      <c r="AE153" s="90">
        <f>T153-HLOOKUP(V153,Minimas!$C$1:$BN$10,5,FALSE)</f>
        <v>30</v>
      </c>
      <c r="AF153" s="90">
        <f>T153-HLOOKUP(V153,Minimas!$C$1:$BN$10,6,FALSE)</f>
        <v>0</v>
      </c>
      <c r="AG153" s="90">
        <f>T153-HLOOKUP(V153,Minimas!$C$1:$BN$10,7,FALSE)</f>
        <v>-25</v>
      </c>
      <c r="AH153" s="90">
        <f>T153-HLOOKUP(V153,Minimas!$C$1:$BN$10,8,FALSE)</f>
        <v>-45</v>
      </c>
      <c r="AI153" s="90">
        <f>T153-HLOOKUP(V153,Minimas!$C$1:$BN$10,9,FALSE)</f>
        <v>-65</v>
      </c>
      <c r="AJ153" s="90">
        <f>T153-HLOOKUP(V153,Minimas!$C$1:$BN$10,10,FALSE)</f>
        <v>-90</v>
      </c>
      <c r="AK153" s="91" t="str">
        <f t="shared" si="203"/>
        <v>FED +</v>
      </c>
      <c r="AM153" s="5" t="str">
        <f t="shared" si="204"/>
        <v>FED +</v>
      </c>
      <c r="AN153" s="5">
        <f t="shared" si="205"/>
        <v>0</v>
      </c>
      <c r="AQ153" s="97"/>
      <c r="AR153" s="97"/>
      <c r="AS153" s="97"/>
      <c r="AT153" s="97"/>
      <c r="AU153" s="97"/>
      <c r="AV153" s="97"/>
      <c r="AW153" s="97"/>
      <c r="AX153" s="97"/>
      <c r="AY153" s="97"/>
      <c r="AZ153" s="97"/>
      <c r="BA153" s="97"/>
      <c r="BB153" s="97"/>
      <c r="BC153" s="97"/>
      <c r="BD153" s="97"/>
      <c r="BE153" s="97"/>
      <c r="BF153" s="97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7"/>
      <c r="BS153" s="97"/>
      <c r="BT153" s="97"/>
      <c r="BU153" s="97"/>
      <c r="BV153" s="97"/>
      <c r="BW153" s="97"/>
      <c r="BX153" s="97"/>
    </row>
    <row r="154" spans="1:123" s="5" customFormat="1" ht="27.95" customHeight="1" x14ac:dyDescent="0.2">
      <c r="B154" s="148" t="s">
        <v>324</v>
      </c>
      <c r="C154" s="161">
        <v>375987</v>
      </c>
      <c r="D154" s="92">
        <v>9</v>
      </c>
      <c r="E154" s="84" t="s">
        <v>70</v>
      </c>
      <c r="F154" s="36" t="s">
        <v>420</v>
      </c>
      <c r="G154" s="37" t="s">
        <v>690</v>
      </c>
      <c r="H154" s="92">
        <v>1996</v>
      </c>
      <c r="I154" s="192" t="s">
        <v>383</v>
      </c>
      <c r="J154" s="35" t="s">
        <v>421</v>
      </c>
      <c r="K154" s="103">
        <v>92.3</v>
      </c>
      <c r="L154" s="38">
        <v>110</v>
      </c>
      <c r="M154" s="39">
        <v>115</v>
      </c>
      <c r="N154" s="39">
        <v>-118</v>
      </c>
      <c r="O154" s="54">
        <f t="shared" si="198"/>
        <v>115</v>
      </c>
      <c r="P154" s="53">
        <v>145</v>
      </c>
      <c r="Q154" s="53">
        <v>150</v>
      </c>
      <c r="R154" s="53">
        <v>-155</v>
      </c>
      <c r="S154" s="54">
        <f t="shared" si="199"/>
        <v>150</v>
      </c>
      <c r="T154" s="55">
        <f t="shared" si="200"/>
        <v>265</v>
      </c>
      <c r="U154" s="56" t="str">
        <f t="shared" si="201"/>
        <v>FED + 0</v>
      </c>
      <c r="V154" s="86" t="str">
        <f>IF(E154=0," ",IF(E154="H",IF(OR(E154="SEN",H154&lt;1998),VLOOKUP(K154,Minimas!$A$11:$G$29,6),IF(AND(H154&gt;1997,H154&lt;2001),VLOOKUP(K154,Minimas!$A$11:$G$29,5),IF(AND(H154&gt;2000,H154&lt;2003),VLOOKUP(K154,Minimas!$A$11:$G$29,4),IF(AND(H154&gt;2002,H154&lt;2005),VLOOKUP(K154,Minimas!$A$11:$G$29,3),VLOOKUP(K154,Minimas!$A$11:$G$29,2))))),IF(OR(H154="SEN",H154&lt;1998),VLOOKUP(K154,Minimas!$G$11:$L$26,6),IF(AND(H154&gt;1997,H154&lt;2001),VLOOKUP(K154,Minimas!$G$11:$L$26,5),IF(AND(H154&gt;2000,H154&lt;2003),VLOOKUP(K154,Minimas!$G$11:$L$26,4),IF(AND(H154&gt;2002,H154&lt;2005),VLOOKUP(K154,Minimas!$G$11:$L$26,3),VLOOKUP(K154,Minimas!$G$11:$L$26,2)))))))</f>
        <v>S 94</v>
      </c>
      <c r="W154" s="62">
        <f t="shared" si="202"/>
        <v>303.26199327151653</v>
      </c>
      <c r="X154" s="63"/>
      <c r="Y154" s="156" t="s">
        <v>319</v>
      </c>
      <c r="AB154" s="90">
        <f>T154-HLOOKUP(V154,Minimas!$C$1:$BN$10,2,FALSE)</f>
        <v>95</v>
      </c>
      <c r="AC154" s="90">
        <f>T154-HLOOKUP(V154,Minimas!$C$1:$BN$10,3,FALSE)</f>
        <v>75</v>
      </c>
      <c r="AD154" s="90">
        <f>T154-HLOOKUP(V154,Minimas!$C$1:$BN$10,4,FALSE)</f>
        <v>50</v>
      </c>
      <c r="AE154" s="90">
        <f>T154-HLOOKUP(V154,Minimas!$C$1:$BN$10,5,FALSE)</f>
        <v>30</v>
      </c>
      <c r="AF154" s="90">
        <f>T154-HLOOKUP(V154,Minimas!$C$1:$BN$10,6,FALSE)</f>
        <v>0</v>
      </c>
      <c r="AG154" s="90">
        <f>T154-HLOOKUP(V154,Minimas!$C$1:$BN$10,7,FALSE)</f>
        <v>-25</v>
      </c>
      <c r="AH154" s="90">
        <f>T154-HLOOKUP(V154,Minimas!$C$1:$BN$10,8,FALSE)</f>
        <v>-45</v>
      </c>
      <c r="AI154" s="90">
        <f>T154-HLOOKUP(V154,Minimas!$C$1:$BN$10,9,FALSE)</f>
        <v>-65</v>
      </c>
      <c r="AJ154" s="90">
        <f>T154-HLOOKUP(V154,Minimas!$C$1:$BN$10,10,FALSE)</f>
        <v>-90</v>
      </c>
      <c r="AK154" s="91" t="str">
        <f t="shared" si="203"/>
        <v>FED +</v>
      </c>
      <c r="AM154" s="5" t="str">
        <f t="shared" si="204"/>
        <v>FED +</v>
      </c>
      <c r="AN154" s="5">
        <f t="shared" si="205"/>
        <v>0</v>
      </c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</row>
    <row r="155" spans="1:123" s="5" customFormat="1" ht="27.95" customHeight="1" x14ac:dyDescent="0.2">
      <c r="B155" s="148" t="s">
        <v>121</v>
      </c>
      <c r="C155" s="161">
        <v>429563</v>
      </c>
      <c r="D155" s="92">
        <v>10</v>
      </c>
      <c r="E155" s="84" t="s">
        <v>70</v>
      </c>
      <c r="F155" s="36" t="s">
        <v>422</v>
      </c>
      <c r="G155" s="37" t="s">
        <v>387</v>
      </c>
      <c r="H155" s="92">
        <v>1988</v>
      </c>
      <c r="I155" s="192" t="s">
        <v>423</v>
      </c>
      <c r="J155" s="35" t="s">
        <v>108</v>
      </c>
      <c r="K155" s="103">
        <v>93</v>
      </c>
      <c r="L155" s="38">
        <v>113</v>
      </c>
      <c r="M155" s="39">
        <v>117</v>
      </c>
      <c r="N155" s="39">
        <v>121</v>
      </c>
      <c r="O155" s="54">
        <f t="shared" si="198"/>
        <v>121</v>
      </c>
      <c r="P155" s="53">
        <v>144</v>
      </c>
      <c r="Q155" s="53">
        <v>-149</v>
      </c>
      <c r="R155" s="53" t="s">
        <v>140</v>
      </c>
      <c r="S155" s="54">
        <f t="shared" si="199"/>
        <v>144</v>
      </c>
      <c r="T155" s="55">
        <f t="shared" si="200"/>
        <v>265</v>
      </c>
      <c r="U155" s="56" t="str">
        <f t="shared" si="201"/>
        <v>FED + 0</v>
      </c>
      <c r="V155" s="86" t="str">
        <f>IF(E155=0," ",IF(E155="H",IF(OR(E155="SEN",H155&lt;1998),VLOOKUP(K155,Minimas!$A$11:$G$29,6),IF(AND(H155&gt;1997,H155&lt;2001),VLOOKUP(K155,Minimas!$A$11:$G$29,5),IF(AND(H155&gt;2000,H155&lt;2003),VLOOKUP(K155,Minimas!$A$11:$G$29,4),IF(AND(H155&gt;2002,H155&lt;2005),VLOOKUP(K155,Minimas!$A$11:$G$29,3),VLOOKUP(K155,Minimas!$A$11:$G$29,2))))),IF(OR(H155="SEN",H155&lt;1998),VLOOKUP(K155,Minimas!$G$11:$L$26,6),IF(AND(H155&gt;1997,H155&lt;2001),VLOOKUP(K155,Minimas!$G$11:$L$26,5),IF(AND(H155&gt;2000,H155&lt;2003),VLOOKUP(K155,Minimas!$G$11:$L$26,4),IF(AND(H155&gt;2002,H155&lt;2005),VLOOKUP(K155,Minimas!$G$11:$L$26,3),VLOOKUP(K155,Minimas!$G$11:$L$26,2)))))))</f>
        <v>S 94</v>
      </c>
      <c r="W155" s="62">
        <f t="shared" si="202"/>
        <v>302.30744853946692</v>
      </c>
      <c r="X155" s="63"/>
      <c r="Y155" s="156" t="s">
        <v>319</v>
      </c>
      <c r="AB155" s="90">
        <f>T155-HLOOKUP(V155,Minimas!$C$1:$BN$10,2,FALSE)</f>
        <v>95</v>
      </c>
      <c r="AC155" s="90">
        <f>T155-HLOOKUP(V155,Minimas!$C$1:$BN$10,3,FALSE)</f>
        <v>75</v>
      </c>
      <c r="AD155" s="90">
        <f>T155-HLOOKUP(V155,Minimas!$C$1:$BN$10,4,FALSE)</f>
        <v>50</v>
      </c>
      <c r="AE155" s="90">
        <f>T155-HLOOKUP(V155,Minimas!$C$1:$BN$10,5,FALSE)</f>
        <v>30</v>
      </c>
      <c r="AF155" s="90">
        <f>T155-HLOOKUP(V155,Minimas!$C$1:$BN$10,6,FALSE)</f>
        <v>0</v>
      </c>
      <c r="AG155" s="90">
        <f>T155-HLOOKUP(V155,Minimas!$C$1:$BN$10,7,FALSE)</f>
        <v>-25</v>
      </c>
      <c r="AH155" s="90">
        <f>T155-HLOOKUP(V155,Minimas!$C$1:$BN$10,8,FALSE)</f>
        <v>-45</v>
      </c>
      <c r="AI155" s="90">
        <f>T155-HLOOKUP(V155,Minimas!$C$1:$BN$10,9,FALSE)</f>
        <v>-65</v>
      </c>
      <c r="AJ155" s="90">
        <f>T155-HLOOKUP(V155,Minimas!$C$1:$BN$10,10,FALSE)</f>
        <v>-90</v>
      </c>
      <c r="AK155" s="91" t="str">
        <f t="shared" si="203"/>
        <v>FED +</v>
      </c>
      <c r="AM155" s="5" t="str">
        <f t="shared" si="204"/>
        <v>FED +</v>
      </c>
      <c r="AN155" s="5">
        <f t="shared" si="205"/>
        <v>0</v>
      </c>
      <c r="AQ155" s="97"/>
      <c r="AR155" s="97"/>
      <c r="AS155" s="97"/>
      <c r="AT155" s="97"/>
      <c r="AU155" s="97"/>
      <c r="AV155" s="97"/>
      <c r="AW155" s="97"/>
      <c r="AX155" s="97"/>
      <c r="AY155" s="97"/>
      <c r="AZ155" s="97"/>
      <c r="BA155" s="97"/>
      <c r="BB155" s="97"/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7"/>
      <c r="BS155" s="97"/>
      <c r="BT155" s="97"/>
      <c r="BU155" s="97"/>
      <c r="BV155" s="97"/>
      <c r="BW155" s="97"/>
      <c r="BX155" s="97"/>
    </row>
    <row r="156" spans="1:123" s="5" customFormat="1" ht="27.95" customHeight="1" thickBot="1" x14ac:dyDescent="0.25">
      <c r="B156" s="148" t="s">
        <v>121</v>
      </c>
      <c r="C156" s="161">
        <v>357547</v>
      </c>
      <c r="D156" s="92">
        <v>11</v>
      </c>
      <c r="E156" s="84" t="s">
        <v>70</v>
      </c>
      <c r="F156" s="36" t="s">
        <v>521</v>
      </c>
      <c r="G156" s="37" t="s">
        <v>522</v>
      </c>
      <c r="H156" s="92">
        <v>1988</v>
      </c>
      <c r="I156" s="192" t="s">
        <v>556</v>
      </c>
      <c r="J156" s="35" t="s">
        <v>108</v>
      </c>
      <c r="K156" s="103">
        <v>92.7</v>
      </c>
      <c r="L156" s="38">
        <v>-115</v>
      </c>
      <c r="M156" s="39">
        <v>117</v>
      </c>
      <c r="N156" s="39">
        <v>-120</v>
      </c>
      <c r="O156" s="54">
        <f t="shared" si="198"/>
        <v>117</v>
      </c>
      <c r="P156" s="53">
        <v>-148</v>
      </c>
      <c r="Q156" s="53">
        <v>148</v>
      </c>
      <c r="R156" s="53">
        <v>-153</v>
      </c>
      <c r="S156" s="54">
        <f t="shared" si="199"/>
        <v>148</v>
      </c>
      <c r="T156" s="55">
        <f t="shared" si="200"/>
        <v>265</v>
      </c>
      <c r="U156" s="56" t="str">
        <f t="shared" si="201"/>
        <v>FED + 0</v>
      </c>
      <c r="V156" s="86" t="str">
        <f>IF(E156=0," ",IF(E156="H",IF(OR(E156="SEN",H156&lt;1998),VLOOKUP(K156,Minimas!$A$11:$G$29,6),IF(AND(H156&gt;1997,H156&lt;2001),VLOOKUP(K156,Minimas!$A$11:$G$29,5),IF(AND(H156&gt;2000,H156&lt;2003),VLOOKUP(K156,Minimas!$A$11:$G$29,4),IF(AND(H156&gt;2002,H156&lt;2005),VLOOKUP(K156,Minimas!$A$11:$G$29,3),VLOOKUP(K156,Minimas!$A$11:$G$29,2))))),IF(OR(H156="SEN",H156&lt;1998),VLOOKUP(K156,Minimas!$G$11:$L$26,6),IF(AND(H156&gt;1997,H156&lt;2001),VLOOKUP(K156,Minimas!$G$11:$L$26,5),IF(AND(H156&gt;2000,H156&lt;2003),VLOOKUP(K156,Minimas!$G$11:$L$26,4),IF(AND(H156&gt;2002,H156&lt;2005),VLOOKUP(K156,Minimas!$G$11:$L$26,3),VLOOKUP(K156,Minimas!$G$11:$L$26,2)))))))</f>
        <v>S 94</v>
      </c>
      <c r="W156" s="62">
        <f t="shared" si="202"/>
        <v>302.71390689554903</v>
      </c>
      <c r="X156" s="63"/>
      <c r="Y156" s="155" t="s">
        <v>441</v>
      </c>
      <c r="AB156" s="90">
        <f>T156-HLOOKUP(V156,Minimas!$C$1:$BN$10,2,FALSE)</f>
        <v>95</v>
      </c>
      <c r="AC156" s="90">
        <f>T156-HLOOKUP(V156,Minimas!$C$1:$BN$10,3,FALSE)</f>
        <v>75</v>
      </c>
      <c r="AD156" s="90">
        <f>T156-HLOOKUP(V156,Minimas!$C$1:$BN$10,4,FALSE)</f>
        <v>50</v>
      </c>
      <c r="AE156" s="90">
        <f>T156-HLOOKUP(V156,Minimas!$C$1:$BN$10,5,FALSE)</f>
        <v>30</v>
      </c>
      <c r="AF156" s="90">
        <f>T156-HLOOKUP(V156,Minimas!$C$1:$BN$10,6,FALSE)</f>
        <v>0</v>
      </c>
      <c r="AG156" s="90">
        <f>T156-HLOOKUP(V156,Minimas!$C$1:$BN$10,7,FALSE)</f>
        <v>-25</v>
      </c>
      <c r="AH156" s="90">
        <f>T156-HLOOKUP(V156,Minimas!$C$1:$BN$10,8,FALSE)</f>
        <v>-45</v>
      </c>
      <c r="AI156" s="90">
        <f>T156-HLOOKUP(V156,Minimas!$C$1:$BN$10,9,FALSE)</f>
        <v>-65</v>
      </c>
      <c r="AJ156" s="90">
        <f>T156-HLOOKUP(V156,Minimas!$C$1:$BN$10,10,FALSE)</f>
        <v>-90</v>
      </c>
      <c r="AK156" s="91" t="str">
        <f t="shared" si="203"/>
        <v>FED +</v>
      </c>
      <c r="AM156" s="5" t="str">
        <f t="shared" si="204"/>
        <v>FED +</v>
      </c>
      <c r="AN156" s="5">
        <f t="shared" si="205"/>
        <v>0</v>
      </c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  <c r="BW156" s="97"/>
      <c r="BX156" s="97"/>
    </row>
    <row r="157" spans="1:123" s="11" customFormat="1" ht="5.0999999999999996" customHeight="1" thickBot="1" x14ac:dyDescent="0.25">
      <c r="A157" s="8"/>
      <c r="B157" s="147"/>
      <c r="C157" s="160"/>
      <c r="D157" s="41"/>
      <c r="E157" s="41"/>
      <c r="F157" s="42"/>
      <c r="G157" s="43"/>
      <c r="H157" s="44"/>
      <c r="I157" s="193"/>
      <c r="J157" s="40"/>
      <c r="K157" s="101"/>
      <c r="L157" s="45"/>
      <c r="M157" s="45"/>
      <c r="N157" s="45"/>
      <c r="O157" s="46"/>
      <c r="P157" s="45"/>
      <c r="Q157" s="45"/>
      <c r="R157" s="45"/>
      <c r="S157" s="46"/>
      <c r="T157" s="46"/>
      <c r="U157" s="41"/>
      <c r="V157" s="48"/>
      <c r="W157" s="47"/>
      <c r="X157" s="7"/>
      <c r="Y157" s="154"/>
      <c r="Z157" s="7"/>
      <c r="AA157" s="7"/>
      <c r="AB157" s="89" t="s">
        <v>60</v>
      </c>
      <c r="AC157" s="89" t="s">
        <v>61</v>
      </c>
      <c r="AD157" s="89" t="s">
        <v>62</v>
      </c>
      <c r="AE157" s="89" t="s">
        <v>63</v>
      </c>
      <c r="AF157" s="89" t="s">
        <v>64</v>
      </c>
      <c r="AG157" s="89" t="s">
        <v>65</v>
      </c>
      <c r="AH157" s="89" t="s">
        <v>66</v>
      </c>
      <c r="AI157" s="89" t="s">
        <v>67</v>
      </c>
      <c r="AJ157" s="89" t="s">
        <v>68</v>
      </c>
      <c r="AK157" s="89"/>
      <c r="AL157" s="7"/>
      <c r="AM157" s="7"/>
      <c r="AN157" s="7"/>
      <c r="AO157" s="7"/>
      <c r="AP157" s="7"/>
      <c r="AQ157" s="95"/>
      <c r="AR157" s="95"/>
      <c r="AS157" s="95"/>
      <c r="AT157" s="95"/>
      <c r="AU157" s="95"/>
      <c r="AV157" s="95"/>
      <c r="AW157" s="95"/>
      <c r="AX157" s="95"/>
      <c r="AY157" s="95"/>
      <c r="AZ157" s="95"/>
      <c r="BA157" s="95"/>
      <c r="BB157" s="95"/>
      <c r="BC157" s="95"/>
      <c r="BD157" s="95"/>
      <c r="BE157" s="95"/>
      <c r="BF157" s="95"/>
      <c r="BG157" s="95"/>
      <c r="BH157" s="95"/>
      <c r="BI157" s="95"/>
      <c r="BJ157" s="95"/>
      <c r="BK157" s="95"/>
      <c r="BL157" s="95"/>
      <c r="BM157" s="95"/>
      <c r="BN157" s="95"/>
      <c r="BO157" s="95"/>
      <c r="BP157" s="95"/>
      <c r="BQ157" s="95"/>
      <c r="BR157" s="95"/>
      <c r="BS157" s="95"/>
      <c r="BT157" s="95"/>
      <c r="BU157" s="95"/>
      <c r="BV157" s="95"/>
      <c r="BW157" s="95"/>
      <c r="BX157" s="95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</row>
    <row r="158" spans="1:123" s="5" customFormat="1" ht="27.95" customHeight="1" x14ac:dyDescent="0.2">
      <c r="B158" s="148" t="s">
        <v>123</v>
      </c>
      <c r="C158" s="161">
        <v>437033</v>
      </c>
      <c r="D158" s="92">
        <v>1</v>
      </c>
      <c r="E158" s="84" t="s">
        <v>70</v>
      </c>
      <c r="F158" s="36" t="s">
        <v>424</v>
      </c>
      <c r="G158" s="37" t="s">
        <v>691</v>
      </c>
      <c r="H158" s="92">
        <v>1993</v>
      </c>
      <c r="I158" s="192" t="s">
        <v>425</v>
      </c>
      <c r="J158" s="35" t="s">
        <v>426</v>
      </c>
      <c r="K158" s="103">
        <v>96.35</v>
      </c>
      <c r="L158" s="38">
        <v>130</v>
      </c>
      <c r="M158" s="39">
        <v>135</v>
      </c>
      <c r="N158" s="39">
        <v>140</v>
      </c>
      <c r="O158" s="54">
        <f t="shared" si="191"/>
        <v>140</v>
      </c>
      <c r="P158" s="53">
        <v>151</v>
      </c>
      <c r="Q158" s="53">
        <v>156</v>
      </c>
      <c r="R158" s="53" t="s">
        <v>126</v>
      </c>
      <c r="S158" s="54">
        <f t="shared" si="192"/>
        <v>156</v>
      </c>
      <c r="T158" s="55">
        <f t="shared" si="193"/>
        <v>296</v>
      </c>
      <c r="U158" s="56" t="str">
        <f t="shared" si="194"/>
        <v>FED + 21</v>
      </c>
      <c r="V158" s="86" t="str">
        <f>IF(E158=0," ",IF(E158="H",IF(OR(E158="SEN",H158&lt;1998),VLOOKUP(K158,Minimas!$A$11:$G$29,6),IF(AND(H158&gt;1997,H158&lt;2001),VLOOKUP(K158,Minimas!$A$11:$G$29,5),IF(AND(H158&gt;2000,H158&lt;2003),VLOOKUP(K158,Minimas!$A$11:$G$29,4),IF(AND(H158&gt;2002,H158&lt;2005),VLOOKUP(K158,Minimas!$A$11:$G$29,3),VLOOKUP(K158,Minimas!$A$11:$G$29,2))))),IF(OR(H158="SEN",H158&lt;1998),VLOOKUP(K158,Minimas!$G$11:$L$26,6),IF(AND(H158&gt;1997,H158&lt;2001),VLOOKUP(K158,Minimas!$G$11:$L$26,5),IF(AND(H158&gt;2000,H158&lt;2003),VLOOKUP(K158,Minimas!$G$11:$L$26,4),IF(AND(H158&gt;2002,H158&lt;2005),VLOOKUP(K158,Minimas!$G$11:$L$26,3),VLOOKUP(K158,Minimas!$G$11:$L$26,2)))))))</f>
        <v>S 105</v>
      </c>
      <c r="W158" s="62">
        <f t="shared" si="195"/>
        <v>332.88744950047419</v>
      </c>
      <c r="X158" s="63"/>
      <c r="Y158" s="155" t="s">
        <v>441</v>
      </c>
      <c r="AB158" s="90">
        <f>T158-HLOOKUP(V158,Minimas!$C$1:$BN$10,2,FALSE)</f>
        <v>121</v>
      </c>
      <c r="AC158" s="90">
        <f>T158-HLOOKUP(V158,Minimas!$C$1:$BN$10,3,FALSE)</f>
        <v>101</v>
      </c>
      <c r="AD158" s="90">
        <f>T158-HLOOKUP(V158,Minimas!$C$1:$BN$10,4,FALSE)</f>
        <v>76</v>
      </c>
      <c r="AE158" s="90">
        <f>T158-HLOOKUP(V158,Minimas!$C$1:$BN$10,5,FALSE)</f>
        <v>51</v>
      </c>
      <c r="AF158" s="90">
        <f>T158-HLOOKUP(V158,Minimas!$C$1:$BN$10,6,FALSE)</f>
        <v>21</v>
      </c>
      <c r="AG158" s="90">
        <f>T158-HLOOKUP(V158,Minimas!$C$1:$BN$10,7,FALSE)</f>
        <v>-4</v>
      </c>
      <c r="AH158" s="90">
        <f>T158-HLOOKUP(V158,Minimas!$C$1:$BN$10,8,FALSE)</f>
        <v>-29</v>
      </c>
      <c r="AI158" s="90">
        <f>T158-HLOOKUP(V158,Minimas!$C$1:$BN$10,9,FALSE)</f>
        <v>-49</v>
      </c>
      <c r="AJ158" s="90">
        <f>T158-HLOOKUP(V158,Minimas!$C$1:$BN$10,10,FALSE)</f>
        <v>-69</v>
      </c>
      <c r="AK158" s="91" t="str">
        <f>IF(E158=0," ",IF(AJ158&gt;=0,$AJ$5,IF(AI158&gt;=0,$AI$5,IF(AH158&gt;=0,$AH$5,IF(AG158&gt;=0,$AG$5,IF(AF158&gt;=0,$AF$5,IF(AE158&gt;=0,$AE$5,IF(AD158&gt;=0,$AD$5,IF(AC158&gt;=0,$AC$5,$AB$5)))))))))</f>
        <v>FED +</v>
      </c>
      <c r="AM158" s="5" t="str">
        <f t="shared" si="196"/>
        <v>FED +</v>
      </c>
      <c r="AN158" s="5">
        <f t="shared" si="197"/>
        <v>21</v>
      </c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  <c r="BW158" s="97"/>
      <c r="BX158" s="97"/>
    </row>
    <row r="159" spans="1:123" s="5" customFormat="1" ht="27.95" customHeight="1" x14ac:dyDescent="0.2">
      <c r="B159" s="148" t="s">
        <v>124</v>
      </c>
      <c r="C159" s="161">
        <v>389172</v>
      </c>
      <c r="D159" s="92">
        <v>2</v>
      </c>
      <c r="E159" s="84" t="s">
        <v>70</v>
      </c>
      <c r="F159" s="36" t="s">
        <v>427</v>
      </c>
      <c r="G159" s="37" t="s">
        <v>401</v>
      </c>
      <c r="H159" s="92">
        <v>1991</v>
      </c>
      <c r="I159" s="192" t="s">
        <v>570</v>
      </c>
      <c r="J159" s="35" t="s">
        <v>108</v>
      </c>
      <c r="K159" s="103">
        <v>102.8</v>
      </c>
      <c r="L159" s="38">
        <v>125</v>
      </c>
      <c r="M159" s="39">
        <v>130</v>
      </c>
      <c r="N159" s="39">
        <v>-133</v>
      </c>
      <c r="O159" s="54">
        <f t="shared" si="191"/>
        <v>130</v>
      </c>
      <c r="P159" s="53">
        <v>160</v>
      </c>
      <c r="Q159" s="53">
        <v>-170</v>
      </c>
      <c r="R159" s="53">
        <v>-170</v>
      </c>
      <c r="S159" s="54">
        <f t="shared" si="192"/>
        <v>160</v>
      </c>
      <c r="T159" s="55">
        <f t="shared" si="193"/>
        <v>290</v>
      </c>
      <c r="U159" s="56" t="str">
        <f t="shared" si="194"/>
        <v>FED + 15</v>
      </c>
      <c r="V159" s="86" t="str">
        <f>IF(E159=0," ",IF(E159="H",IF(OR(E159="SEN",H159&lt;1998),VLOOKUP(K159,Minimas!$A$11:$G$29,6),IF(AND(H159&gt;1997,H159&lt;2001),VLOOKUP(K159,Minimas!$A$11:$G$29,5),IF(AND(H159&gt;2000,H159&lt;2003),VLOOKUP(K159,Minimas!$A$11:$G$29,4),IF(AND(H159&gt;2002,H159&lt;2005),VLOOKUP(K159,Minimas!$A$11:$G$29,3),VLOOKUP(K159,Minimas!$A$11:$G$29,2))))),IF(OR(H159="SEN",H159&lt;1998),VLOOKUP(K159,Minimas!$G$11:$L$26,6),IF(AND(H159&gt;1997,H159&lt;2001),VLOOKUP(K159,Minimas!$G$11:$L$26,5),IF(AND(H159&gt;2000,H159&lt;2003),VLOOKUP(K159,Minimas!$G$11:$L$26,4),IF(AND(H159&gt;2002,H159&lt;2005),VLOOKUP(K159,Minimas!$G$11:$L$26,3),VLOOKUP(K159,Minimas!$G$11:$L$26,2)))))))</f>
        <v>S 105</v>
      </c>
      <c r="W159" s="62">
        <f t="shared" si="195"/>
        <v>318.40270898345165</v>
      </c>
      <c r="X159" s="63"/>
      <c r="Y159" s="156" t="s">
        <v>319</v>
      </c>
      <c r="AB159" s="90">
        <f>T159-HLOOKUP(V159,Minimas!$C$1:$BN$10,2,FALSE)</f>
        <v>115</v>
      </c>
      <c r="AC159" s="90">
        <f>T159-HLOOKUP(V159,Minimas!$C$1:$BN$10,3,FALSE)</f>
        <v>95</v>
      </c>
      <c r="AD159" s="90">
        <f>T159-HLOOKUP(V159,Minimas!$C$1:$BN$10,4,FALSE)</f>
        <v>70</v>
      </c>
      <c r="AE159" s="90">
        <f>T159-HLOOKUP(V159,Minimas!$C$1:$BN$10,5,FALSE)</f>
        <v>45</v>
      </c>
      <c r="AF159" s="90">
        <f>T159-HLOOKUP(V159,Minimas!$C$1:$BN$10,6,FALSE)</f>
        <v>15</v>
      </c>
      <c r="AG159" s="90">
        <f>T159-HLOOKUP(V159,Minimas!$C$1:$BN$10,7,FALSE)</f>
        <v>-10</v>
      </c>
      <c r="AH159" s="90">
        <f>T159-HLOOKUP(V159,Minimas!$C$1:$BN$10,8,FALSE)</f>
        <v>-35</v>
      </c>
      <c r="AI159" s="90">
        <f>T159-HLOOKUP(V159,Minimas!$C$1:$BN$10,9,FALSE)</f>
        <v>-55</v>
      </c>
      <c r="AJ159" s="90">
        <f>T159-HLOOKUP(V159,Minimas!$C$1:$BN$10,10,FALSE)</f>
        <v>-75</v>
      </c>
      <c r="AK159" s="91" t="str">
        <f>IF(E159=0," ",IF(AJ159&gt;=0,$AJ$5,IF(AI159&gt;=0,$AI$5,IF(AH159&gt;=0,$AH$5,IF(AG159&gt;=0,$AG$5,IF(AF159&gt;=0,$AF$5,IF(AE159&gt;=0,$AE$5,IF(AD159&gt;=0,$AD$5,IF(AC159&gt;=0,$AC$5,$AB$5)))))))))</f>
        <v>FED +</v>
      </c>
      <c r="AM159" s="5" t="str">
        <f t="shared" si="196"/>
        <v>FED +</v>
      </c>
      <c r="AN159" s="5">
        <f t="shared" si="197"/>
        <v>15</v>
      </c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  <c r="BW159" s="97"/>
      <c r="BX159" s="97"/>
    </row>
    <row r="160" spans="1:123" s="5" customFormat="1" ht="27.95" customHeight="1" x14ac:dyDescent="0.2">
      <c r="B160" s="148" t="s">
        <v>121</v>
      </c>
      <c r="C160" s="161">
        <v>246398</v>
      </c>
      <c r="D160" s="92">
        <v>3</v>
      </c>
      <c r="E160" s="84" t="s">
        <v>70</v>
      </c>
      <c r="F160" s="36" t="s">
        <v>428</v>
      </c>
      <c r="G160" s="37" t="s">
        <v>429</v>
      </c>
      <c r="H160" s="92">
        <v>1978</v>
      </c>
      <c r="I160" s="192" t="s">
        <v>430</v>
      </c>
      <c r="J160" s="35" t="s">
        <v>108</v>
      </c>
      <c r="K160" s="103">
        <v>104.8</v>
      </c>
      <c r="L160" s="38">
        <v>110</v>
      </c>
      <c r="M160" s="39">
        <v>115</v>
      </c>
      <c r="N160" s="39">
        <v>120</v>
      </c>
      <c r="O160" s="54">
        <f>IF(E160="","",IF(MAXA(L160:N160)&lt;=0,0,MAXA(L160:N160)))</f>
        <v>120</v>
      </c>
      <c r="P160" s="53">
        <v>150</v>
      </c>
      <c r="Q160" s="53">
        <v>160</v>
      </c>
      <c r="R160" s="53">
        <v>-170</v>
      </c>
      <c r="S160" s="54">
        <f>IF(E160="","",IF(MAXA(P160:R160)&lt;=0,0,MAXA(P160:R160)))</f>
        <v>160</v>
      </c>
      <c r="T160" s="55">
        <f>IF(E160="","",IF(OR(O160=0,S160=0),0,O160+S160))</f>
        <v>280</v>
      </c>
      <c r="U160" s="56" t="str">
        <f>+CONCATENATE(AM160," ",AN160)</f>
        <v>FED + 5</v>
      </c>
      <c r="V160" s="86" t="str">
        <f>IF(E160=0," ",IF(E160="H",IF(OR(E160="SEN",H160&lt;1998),VLOOKUP(K160,Minimas!$A$11:$G$29,6),IF(AND(H160&gt;1997,H160&lt;2001),VLOOKUP(K160,Minimas!$A$11:$G$29,5),IF(AND(H160&gt;2000,H160&lt;2003),VLOOKUP(K160,Minimas!$A$11:$G$29,4),IF(AND(H160&gt;2002,H160&lt;2005),VLOOKUP(K160,Minimas!$A$11:$G$29,3),VLOOKUP(K160,Minimas!$A$11:$G$29,2))))),IF(OR(H160="SEN",H160&lt;1998),VLOOKUP(K160,Minimas!$G$11:$L$26,6),IF(AND(H160&gt;1997,H160&lt;2001),VLOOKUP(K160,Minimas!$G$11:$L$26,5),IF(AND(H160&gt;2000,H160&lt;2003),VLOOKUP(K160,Minimas!$G$11:$L$26,4),IF(AND(H160&gt;2002,H160&lt;2005),VLOOKUP(K160,Minimas!$G$11:$L$26,3),VLOOKUP(K160,Minimas!$G$11:$L$26,2)))))))</f>
        <v>S 105</v>
      </c>
      <c r="W160" s="62">
        <f>IF(E160=" "," ",IF(E160="H",10^(0.75194503*LOG(K160/175.508)^2)*T160,IF(E160="F",10^(0.783497476* LOG(K160/153.655)^2)*T160,"")))</f>
        <v>305.39782899078256</v>
      </c>
      <c r="X160" s="63"/>
      <c r="Y160" s="156" t="s">
        <v>319</v>
      </c>
      <c r="AB160" s="90">
        <f>T160-HLOOKUP(V160,Minimas!$C$1:$BN$10,2,FALSE)</f>
        <v>105</v>
      </c>
      <c r="AC160" s="90">
        <f>T160-HLOOKUP(V160,Minimas!$C$1:$BN$10,3,FALSE)</f>
        <v>85</v>
      </c>
      <c r="AD160" s="90">
        <f>T160-HLOOKUP(V160,Minimas!$C$1:$BN$10,4,FALSE)</f>
        <v>60</v>
      </c>
      <c r="AE160" s="90">
        <f>T160-HLOOKUP(V160,Minimas!$C$1:$BN$10,5,FALSE)</f>
        <v>35</v>
      </c>
      <c r="AF160" s="90">
        <f>T160-HLOOKUP(V160,Minimas!$C$1:$BN$10,6,FALSE)</f>
        <v>5</v>
      </c>
      <c r="AG160" s="90">
        <f>T160-HLOOKUP(V160,Minimas!$C$1:$BN$10,7,FALSE)</f>
        <v>-20</v>
      </c>
      <c r="AH160" s="90">
        <f>T160-HLOOKUP(V160,Minimas!$C$1:$BN$10,8,FALSE)</f>
        <v>-45</v>
      </c>
      <c r="AI160" s="90">
        <f>T160-HLOOKUP(V160,Minimas!$C$1:$BN$10,9,FALSE)</f>
        <v>-65</v>
      </c>
      <c r="AJ160" s="90">
        <f>T160-HLOOKUP(V160,Minimas!$C$1:$BN$10,10,FALSE)</f>
        <v>-85</v>
      </c>
      <c r="AK160" s="91" t="str">
        <f>IF(E160=0," ",IF(AJ160&gt;=0,$AJ$5,IF(AI160&gt;=0,$AI$5,IF(AH160&gt;=0,$AH$5,IF(AG160&gt;=0,$AG$5,IF(AF160&gt;=0,$AF$5,IF(AE160&gt;=0,$AE$5,IF(AD160&gt;=0,$AD$5,IF(AC160&gt;=0,$AC$5,$AB$5)))))))))</f>
        <v>FED +</v>
      </c>
      <c r="AM160" s="5" t="str">
        <f>IF(AK160="","",AK160)</f>
        <v>FED +</v>
      </c>
      <c r="AN160" s="5">
        <f>IF(E160=0," ",IF(AJ160&gt;=0,AJ160,IF(AI160&gt;=0,AI160,IF(AH160&gt;=0,AH160,IF(AG160&gt;=0,AG160,IF(AF160&gt;=0,AF160,IF(AE160&gt;=0,AE160,IF(AD160&gt;=0,AD160,IF(AC160&gt;=0,AC160,AB160)))))))))</f>
        <v>5</v>
      </c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  <c r="BW160" s="97"/>
      <c r="BX160" s="97"/>
    </row>
    <row r="161" spans="1:123" s="5" customFormat="1" ht="27.95" customHeight="1" x14ac:dyDescent="0.2">
      <c r="B161" s="148" t="s">
        <v>189</v>
      </c>
      <c r="C161" s="161">
        <v>60004</v>
      </c>
      <c r="D161" s="92">
        <v>4</v>
      </c>
      <c r="E161" s="84" t="s">
        <v>70</v>
      </c>
      <c r="F161" s="36" t="s">
        <v>308</v>
      </c>
      <c r="G161" s="37" t="s">
        <v>517</v>
      </c>
      <c r="H161" s="92">
        <v>1986</v>
      </c>
      <c r="I161" s="192" t="s">
        <v>576</v>
      </c>
      <c r="J161" s="35" t="s">
        <v>108</v>
      </c>
      <c r="K161" s="103">
        <v>104</v>
      </c>
      <c r="L161" s="38">
        <v>120</v>
      </c>
      <c r="M161" s="39">
        <v>125</v>
      </c>
      <c r="N161" s="39">
        <v>-130</v>
      </c>
      <c r="O161" s="54">
        <f t="shared" si="191"/>
        <v>125</v>
      </c>
      <c r="P161" s="53">
        <v>150</v>
      </c>
      <c r="Q161" s="53" t="s">
        <v>126</v>
      </c>
      <c r="R161" s="53" t="s">
        <v>126</v>
      </c>
      <c r="S161" s="54">
        <f t="shared" si="192"/>
        <v>150</v>
      </c>
      <c r="T161" s="55">
        <f t="shared" si="193"/>
        <v>275</v>
      </c>
      <c r="U161" s="56" t="str">
        <f t="shared" si="194"/>
        <v>FED + 0</v>
      </c>
      <c r="V161" s="86" t="str">
        <f>IF(E161=0," ",IF(E161="H",IF(OR(E161="SEN",H161&lt;1998),VLOOKUP(K161,Minimas!$A$11:$G$29,6),IF(AND(H161&gt;1997,H161&lt;2001),VLOOKUP(K161,Minimas!$A$11:$G$29,5),IF(AND(H161&gt;2000,H161&lt;2003),VLOOKUP(K161,Minimas!$A$11:$G$29,4),IF(AND(H161&gt;2002,H161&lt;2005),VLOOKUP(K161,Minimas!$A$11:$G$29,3),VLOOKUP(K161,Minimas!$A$11:$G$29,2))))),IF(OR(H161="SEN",H161&lt;1998),VLOOKUP(K161,Minimas!$G$11:$L$26,6),IF(AND(H161&gt;1997,H161&lt;2001),VLOOKUP(K161,Minimas!$G$11:$L$26,5),IF(AND(H161&gt;2000,H161&lt;2003),VLOOKUP(K161,Minimas!$G$11:$L$26,4),IF(AND(H161&gt;2002,H161&lt;2005),VLOOKUP(K161,Minimas!$G$11:$L$26,3),VLOOKUP(K161,Minimas!$G$11:$L$26,2)))))))</f>
        <v>S 105</v>
      </c>
      <c r="W161" s="62">
        <f t="shared" si="195"/>
        <v>300.72511702848237</v>
      </c>
      <c r="X161" s="63"/>
      <c r="Y161" s="157" t="s">
        <v>131</v>
      </c>
      <c r="AB161" s="90">
        <f>T161-HLOOKUP(V161,Minimas!$C$1:$BN$10,2,FALSE)</f>
        <v>100</v>
      </c>
      <c r="AC161" s="90">
        <f>T161-HLOOKUP(V161,Minimas!$C$1:$BN$10,3,FALSE)</f>
        <v>80</v>
      </c>
      <c r="AD161" s="90">
        <f>T161-HLOOKUP(V161,Minimas!$C$1:$BN$10,4,FALSE)</f>
        <v>55</v>
      </c>
      <c r="AE161" s="90">
        <f>T161-HLOOKUP(V161,Minimas!$C$1:$BN$10,5,FALSE)</f>
        <v>30</v>
      </c>
      <c r="AF161" s="90">
        <f>T161-HLOOKUP(V161,Minimas!$C$1:$BN$10,6,FALSE)</f>
        <v>0</v>
      </c>
      <c r="AG161" s="90">
        <f>T161-HLOOKUP(V161,Minimas!$C$1:$BN$10,7,FALSE)</f>
        <v>-25</v>
      </c>
      <c r="AH161" s="90">
        <f>T161-HLOOKUP(V161,Minimas!$C$1:$BN$10,8,FALSE)</f>
        <v>-50</v>
      </c>
      <c r="AI161" s="90">
        <f>T161-HLOOKUP(V161,Minimas!$C$1:$BN$10,9,FALSE)</f>
        <v>-70</v>
      </c>
      <c r="AJ161" s="90">
        <f>T161-HLOOKUP(V161,Minimas!$C$1:$BN$10,10,FALSE)</f>
        <v>-90</v>
      </c>
      <c r="AK161" s="91" t="str">
        <f>IF(E161=0," ",IF(AJ161&gt;=0,$AJ$5,IF(AI161&gt;=0,$AI$5,IF(AH161&gt;=0,$AH$5,IF(AG161&gt;=0,$AG$5,IF(AF161&gt;=0,$AF$5,IF(AE161&gt;=0,$AE$5,IF(AD161&gt;=0,$AD$5,IF(AC161&gt;=0,$AC$5,$AB$5)))))))))</f>
        <v>FED +</v>
      </c>
      <c r="AM161" s="5" t="str">
        <f t="shared" si="196"/>
        <v>FED +</v>
      </c>
      <c r="AN161" s="5">
        <f t="shared" si="197"/>
        <v>0</v>
      </c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</row>
    <row r="162" spans="1:123" s="5" customFormat="1" ht="27.95" customHeight="1" thickBot="1" x14ac:dyDescent="0.25">
      <c r="B162" s="148" t="s">
        <v>125</v>
      </c>
      <c r="C162" s="161">
        <v>81998</v>
      </c>
      <c r="D162" s="92">
        <v>5</v>
      </c>
      <c r="E162" s="84" t="s">
        <v>70</v>
      </c>
      <c r="F162" s="36" t="s">
        <v>309</v>
      </c>
      <c r="G162" s="37" t="s">
        <v>692</v>
      </c>
      <c r="H162" s="92">
        <v>1981</v>
      </c>
      <c r="I162" s="192" t="s">
        <v>555</v>
      </c>
      <c r="J162" s="35" t="s">
        <v>108</v>
      </c>
      <c r="K162" s="103">
        <v>104.6</v>
      </c>
      <c r="L162" s="38">
        <v>-120</v>
      </c>
      <c r="M162" s="39">
        <v>120</v>
      </c>
      <c r="N162" s="39">
        <v>123</v>
      </c>
      <c r="O162" s="54">
        <f t="shared" si="191"/>
        <v>123</v>
      </c>
      <c r="P162" s="53">
        <v>145</v>
      </c>
      <c r="Q162" s="53">
        <v>152</v>
      </c>
      <c r="R162" s="53">
        <v>-155</v>
      </c>
      <c r="S162" s="54">
        <f t="shared" si="192"/>
        <v>152</v>
      </c>
      <c r="T162" s="55">
        <f t="shared" si="193"/>
        <v>275</v>
      </c>
      <c r="U162" s="56" t="str">
        <f t="shared" si="194"/>
        <v>FED + 0</v>
      </c>
      <c r="V162" s="86" t="str">
        <f>IF(E162=0," ",IF(E162="H",IF(OR(E162="SEN",H162&lt;1998),VLOOKUP(K162,Minimas!$A$11:$G$29,6),IF(AND(H162&gt;1997,H162&lt;2001),VLOOKUP(K162,Minimas!$A$11:$G$29,5),IF(AND(H162&gt;2000,H162&lt;2003),VLOOKUP(K162,Minimas!$A$11:$G$29,4),IF(AND(H162&gt;2002,H162&lt;2005),VLOOKUP(K162,Minimas!$A$11:$G$29,3),VLOOKUP(K162,Minimas!$A$11:$G$29,2))))),IF(OR(H162="SEN",H162&lt;1998),VLOOKUP(K162,Minimas!$G$11:$L$26,6),IF(AND(H162&gt;1997,H162&lt;2001),VLOOKUP(K162,Minimas!$G$11:$L$26,5),IF(AND(H162&gt;2000,H162&lt;2003),VLOOKUP(K162,Minimas!$G$11:$L$26,4),IF(AND(H162&gt;2002,H162&lt;2005),VLOOKUP(K162,Minimas!$G$11:$L$26,3),VLOOKUP(K162,Minimas!$G$11:$L$26,2)))))))</f>
        <v>S 105</v>
      </c>
      <c r="W162" s="62">
        <f t="shared" si="195"/>
        <v>300.13767430884036</v>
      </c>
      <c r="X162" s="63"/>
      <c r="Y162" s="157" t="s">
        <v>131</v>
      </c>
      <c r="AB162" s="90">
        <f>T162-HLOOKUP(V162,Minimas!$C$1:$BN$10,2,FALSE)</f>
        <v>100</v>
      </c>
      <c r="AC162" s="90">
        <f>T162-HLOOKUP(V162,Minimas!$C$1:$BN$10,3,FALSE)</f>
        <v>80</v>
      </c>
      <c r="AD162" s="90">
        <f>T162-HLOOKUP(V162,Minimas!$C$1:$BN$10,4,FALSE)</f>
        <v>55</v>
      </c>
      <c r="AE162" s="90">
        <f>T162-HLOOKUP(V162,Minimas!$C$1:$BN$10,5,FALSE)</f>
        <v>30</v>
      </c>
      <c r="AF162" s="90">
        <f>T162-HLOOKUP(V162,Minimas!$C$1:$BN$10,6,FALSE)</f>
        <v>0</v>
      </c>
      <c r="AG162" s="90">
        <f>T162-HLOOKUP(V162,Minimas!$C$1:$BN$10,7,FALSE)</f>
        <v>-25</v>
      </c>
      <c r="AH162" s="90">
        <f>T162-HLOOKUP(V162,Minimas!$C$1:$BN$10,8,FALSE)</f>
        <v>-50</v>
      </c>
      <c r="AI162" s="90">
        <f>T162-HLOOKUP(V162,Minimas!$C$1:$BN$10,9,FALSE)</f>
        <v>-70</v>
      </c>
      <c r="AJ162" s="90">
        <f>T162-HLOOKUP(V162,Minimas!$C$1:$BN$10,10,FALSE)</f>
        <v>-90</v>
      </c>
      <c r="AK162" s="91" t="str">
        <f>IF(E162=0," ",IF(AJ162&gt;=0,$AJ$5,IF(AI162&gt;=0,$AI$5,IF(AH162&gt;=0,$AH$5,IF(AG162&gt;=0,$AG$5,IF(AF162&gt;=0,$AF$5,IF(AE162&gt;=0,$AE$5,IF(AD162&gt;=0,$AD$5,IF(AC162&gt;=0,$AC$5,$AB$5)))))))))</f>
        <v>FED +</v>
      </c>
      <c r="AM162" s="5" t="str">
        <f t="shared" si="196"/>
        <v>FED +</v>
      </c>
      <c r="AN162" s="5">
        <f t="shared" si="197"/>
        <v>0</v>
      </c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  <c r="BW162" s="97"/>
      <c r="BX162" s="97"/>
    </row>
    <row r="163" spans="1:123" s="11" customFormat="1" ht="5.0999999999999996" customHeight="1" thickBot="1" x14ac:dyDescent="0.25">
      <c r="A163" s="8"/>
      <c r="B163" s="147"/>
      <c r="C163" s="160"/>
      <c r="D163" s="41"/>
      <c r="E163" s="41"/>
      <c r="F163" s="42"/>
      <c r="G163" s="43"/>
      <c r="H163" s="44"/>
      <c r="I163" s="193"/>
      <c r="J163" s="40"/>
      <c r="K163" s="101"/>
      <c r="L163" s="45"/>
      <c r="M163" s="45"/>
      <c r="N163" s="45"/>
      <c r="O163" s="46"/>
      <c r="P163" s="45"/>
      <c r="Q163" s="45"/>
      <c r="R163" s="45"/>
      <c r="S163" s="46"/>
      <c r="T163" s="46"/>
      <c r="U163" s="41"/>
      <c r="V163" s="48"/>
      <c r="W163" s="47"/>
      <c r="X163" s="7"/>
      <c r="Y163" s="154"/>
      <c r="Z163" s="7"/>
      <c r="AA163" s="7"/>
      <c r="AB163" s="89" t="s">
        <v>60</v>
      </c>
      <c r="AC163" s="89" t="s">
        <v>61</v>
      </c>
      <c r="AD163" s="89" t="s">
        <v>62</v>
      </c>
      <c r="AE163" s="89" t="s">
        <v>63</v>
      </c>
      <c r="AF163" s="89" t="s">
        <v>64</v>
      </c>
      <c r="AG163" s="89" t="s">
        <v>65</v>
      </c>
      <c r="AH163" s="89" t="s">
        <v>66</v>
      </c>
      <c r="AI163" s="89" t="s">
        <v>67</v>
      </c>
      <c r="AJ163" s="89" t="s">
        <v>68</v>
      </c>
      <c r="AK163" s="89"/>
      <c r="AL163" s="7"/>
      <c r="AM163" s="7"/>
      <c r="AN163" s="7"/>
      <c r="AO163" s="7"/>
      <c r="AP163" s="7"/>
      <c r="AQ163" s="95"/>
      <c r="AR163" s="95"/>
      <c r="AS163" s="95"/>
      <c r="AT163" s="95"/>
      <c r="AU163" s="95"/>
      <c r="AV163" s="95"/>
      <c r="AW163" s="95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5"/>
      <c r="BW163" s="95"/>
      <c r="BX163" s="95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</row>
    <row r="164" spans="1:123" s="5" customFormat="1" ht="27.95" customHeight="1" thickBot="1" x14ac:dyDescent="0.25">
      <c r="B164" s="148" t="s">
        <v>120</v>
      </c>
      <c r="C164" s="161">
        <v>325010</v>
      </c>
      <c r="D164" s="92">
        <v>1</v>
      </c>
      <c r="E164" s="84" t="s">
        <v>70</v>
      </c>
      <c r="F164" s="36" t="s">
        <v>310</v>
      </c>
      <c r="G164" s="37" t="s">
        <v>311</v>
      </c>
      <c r="H164" s="92">
        <v>1983</v>
      </c>
      <c r="I164" s="192" t="s">
        <v>312</v>
      </c>
      <c r="J164" s="35" t="s">
        <v>108</v>
      </c>
      <c r="K164" s="103">
        <v>146</v>
      </c>
      <c r="L164" s="38">
        <v>120</v>
      </c>
      <c r="M164" s="39">
        <v>126</v>
      </c>
      <c r="N164" s="39">
        <v>-131</v>
      </c>
      <c r="O164" s="54">
        <f t="shared" si="43"/>
        <v>126</v>
      </c>
      <c r="P164" s="53">
        <v>154</v>
      </c>
      <c r="Q164" s="53" t="s">
        <v>126</v>
      </c>
      <c r="R164" s="53" t="s">
        <v>126</v>
      </c>
      <c r="S164" s="54">
        <f t="shared" si="44"/>
        <v>154</v>
      </c>
      <c r="T164" s="55">
        <f t="shared" si="45"/>
        <v>280</v>
      </c>
      <c r="U164" s="56" t="str">
        <f t="shared" si="46"/>
        <v>FED + 0</v>
      </c>
      <c r="V164" s="86" t="str">
        <f>IF(E164=0," ",IF(E164="H",IF(OR(E164="SEN",H164&lt;1998),VLOOKUP(K164,Minimas!$A$11:$G$29,6),IF(AND(H164&gt;1997,H164&lt;2001),VLOOKUP(K164,Minimas!$A$11:$G$29,5),IF(AND(H164&gt;2000,H164&lt;2003),VLOOKUP(K164,Minimas!$A$11:$G$29,4),IF(AND(H164&gt;2002,H164&lt;2005),VLOOKUP(K164,Minimas!$A$11:$G$29,3),VLOOKUP(K164,Minimas!$A$11:$G$29,2))))),IF(OR(H164="SEN",H164&lt;1998),VLOOKUP(K164,Minimas!$G$11:$L$26,6),IF(AND(H164&gt;1997,H164&lt;2001),VLOOKUP(K164,Minimas!$G$11:$L$26,5),IF(AND(H164&gt;2000,H164&lt;2003),VLOOKUP(K164,Minimas!$G$11:$L$26,4),IF(AND(H164&gt;2002,H164&lt;2005),VLOOKUP(K164,Minimas!$G$11:$L$26,3),VLOOKUP(K164,Minimas!$G$11:$L$26,2)))))))</f>
        <v>S +105</v>
      </c>
      <c r="W164" s="62">
        <f t="shared" si="47"/>
        <v>283.11556851166227</v>
      </c>
      <c r="X164" s="63"/>
      <c r="Y164" s="157" t="s">
        <v>131</v>
      </c>
      <c r="AB164" s="90">
        <f>T164-HLOOKUP(V164,Minimas!$C$1:$BN$10,2,FALSE)</f>
        <v>95</v>
      </c>
      <c r="AC164" s="90">
        <f>T164-HLOOKUP(V164,Minimas!$C$1:$BN$10,3,FALSE)</f>
        <v>75</v>
      </c>
      <c r="AD164" s="90">
        <f>T164-HLOOKUP(V164,Minimas!$C$1:$BN$10,4,FALSE)</f>
        <v>55</v>
      </c>
      <c r="AE164" s="90">
        <f>T164-HLOOKUP(V164,Minimas!$C$1:$BN$10,5,FALSE)</f>
        <v>30</v>
      </c>
      <c r="AF164" s="90">
        <f>T164-HLOOKUP(V164,Minimas!$C$1:$BN$10,6,FALSE)</f>
        <v>0</v>
      </c>
      <c r="AG164" s="90">
        <f>T164-HLOOKUP(V164,Minimas!$C$1:$BN$10,7,FALSE)</f>
        <v>-30</v>
      </c>
      <c r="AH164" s="90">
        <f>T164-HLOOKUP(V164,Minimas!$C$1:$BN$10,8,FALSE)</f>
        <v>-50</v>
      </c>
      <c r="AI164" s="90">
        <f>T164-HLOOKUP(V164,Minimas!$C$1:$BN$10,9,FALSE)</f>
        <v>-75</v>
      </c>
      <c r="AJ164" s="90">
        <f>T164-HLOOKUP(V164,Minimas!$C$1:$BN$10,10,FALSE)</f>
        <v>-95</v>
      </c>
      <c r="AK164" s="91" t="str">
        <f>IF(E164=0," ",IF(AJ164&gt;=0,$AJ$5,IF(AI164&gt;=0,$AI$5,IF(AH164&gt;=0,$AH$5,IF(AG164&gt;=0,$AG$5,IF(AF164&gt;=0,$AF$5,IF(AE164&gt;=0,$AE$5,IF(AD164&gt;=0,$AD$5,IF(AC164&gt;=0,$AC$5,$AB$5)))))))))</f>
        <v>FED +</v>
      </c>
      <c r="AM164" s="5" t="str">
        <f t="shared" si="48"/>
        <v>FED +</v>
      </c>
      <c r="AN164" s="5">
        <f t="shared" si="49"/>
        <v>0</v>
      </c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</row>
    <row r="165" spans="1:123" s="16" customFormat="1" ht="10.15" customHeight="1" x14ac:dyDescent="0.2">
      <c r="B165" s="151"/>
      <c r="C165" s="151"/>
      <c r="D165" s="98"/>
      <c r="E165" s="98"/>
      <c r="F165" s="98"/>
      <c r="G165" s="98"/>
      <c r="H165" s="98"/>
      <c r="I165" s="104"/>
      <c r="J165" s="98"/>
      <c r="K165" s="104"/>
      <c r="L165" s="98"/>
      <c r="M165" s="98"/>
      <c r="N165" s="98"/>
      <c r="O165" s="98"/>
      <c r="P165" s="99"/>
      <c r="Q165" s="98"/>
      <c r="R165" s="98"/>
      <c r="S165" s="98"/>
      <c r="T165" s="98"/>
      <c r="U165" s="98"/>
      <c r="V165" s="98"/>
      <c r="W165" s="98"/>
      <c r="X165" s="15"/>
      <c r="Y165" s="151"/>
    </row>
    <row r="166" spans="1:123" ht="27" customHeight="1" x14ac:dyDescent="0.2">
      <c r="A166" s="6"/>
      <c r="B166" s="224" t="s">
        <v>438</v>
      </c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5"/>
      <c r="V166" s="225"/>
      <c r="W166" s="226"/>
      <c r="AQ166" s="1"/>
      <c r="BY166" s="93"/>
    </row>
    <row r="167" spans="1:123" ht="27" customHeight="1" x14ac:dyDescent="0.2">
      <c r="A167" s="6"/>
      <c r="B167" s="221" t="s">
        <v>439</v>
      </c>
      <c r="C167" s="222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3"/>
      <c r="Y167" s="143" t="s">
        <v>577</v>
      </c>
      <c r="AQ167" s="1"/>
      <c r="BY167" s="93"/>
    </row>
  </sheetData>
  <sortState ref="A20:DS24">
    <sortCondition descending="1" ref="T20:T24"/>
  </sortState>
  <mergeCells count="16">
    <mergeCell ref="B166:W166"/>
    <mergeCell ref="B167:W167"/>
    <mergeCell ref="B28:Y28"/>
    <mergeCell ref="B54:Y54"/>
    <mergeCell ref="B94:Y94"/>
    <mergeCell ref="F56:G56"/>
    <mergeCell ref="F96:G96"/>
    <mergeCell ref="F30:G30"/>
    <mergeCell ref="F7:G7"/>
    <mergeCell ref="B5:Y5"/>
    <mergeCell ref="Y2:Y3"/>
    <mergeCell ref="D2:K2"/>
    <mergeCell ref="N2:S3"/>
    <mergeCell ref="V2:W2"/>
    <mergeCell ref="D3:K3"/>
    <mergeCell ref="V3:W3"/>
  </mergeCells>
  <conditionalFormatting sqref="P164:R164 L164:N164 L102:N103 P102:R103 L128:N130 P128:R130 P133:R135 L133:N135 P23:R24 L23:N24 L46:N47 P46:R47 P52:R52 L70:N80 P70:R80 P90:R92 L90:N92 L150:N152 P150:R152 L21:N21 P21:R21 P34:R34 L34:N34 L108:N117 P108:R117 L26:N26 P26:R26 L36:N36 P36:R36 P38:R38 L38:N38 P49:R49 L98:N98 P98:R98">
    <cfRule type="cellIs" dxfId="50" priority="118" operator="lessThan">
      <formula>0</formula>
    </cfRule>
  </conditionalFormatting>
  <conditionalFormatting sqref="P40:R41 L40:N41">
    <cfRule type="cellIs" dxfId="49" priority="90" operator="lessThan">
      <formula>0</formula>
    </cfRule>
  </conditionalFormatting>
  <conditionalFormatting sqref="P138:R143 L138:N143">
    <cfRule type="cellIs" dxfId="48" priority="79" operator="lessThan">
      <formula>0</formula>
    </cfRule>
  </conditionalFormatting>
  <conditionalFormatting sqref="P137:R137 L137:N137">
    <cfRule type="cellIs" dxfId="47" priority="77" operator="lessThan">
      <formula>0</formula>
    </cfRule>
  </conditionalFormatting>
  <conditionalFormatting sqref="P120:R121 L120:N121 L124:N127 P124:R127">
    <cfRule type="cellIs" dxfId="46" priority="76" operator="lessThan">
      <formula>0</formula>
    </cfRule>
  </conditionalFormatting>
  <conditionalFormatting sqref="P146:R147 L146:N147 P161:R162 L161:N162 L149:N149 P149:R149">
    <cfRule type="cellIs" dxfId="45" priority="75" operator="lessThan">
      <formula>0</formula>
    </cfRule>
  </conditionalFormatting>
  <conditionalFormatting sqref="L17:N18 P17:R18">
    <cfRule type="cellIs" dxfId="44" priority="74" operator="lessThan">
      <formula>0</formula>
    </cfRule>
  </conditionalFormatting>
  <conditionalFormatting sqref="L12:N12 P12:R12">
    <cfRule type="cellIs" dxfId="43" priority="71" operator="lessThan">
      <formula>0</formula>
    </cfRule>
  </conditionalFormatting>
  <conditionalFormatting sqref="L20:N20 P20:R20">
    <cfRule type="cellIs" dxfId="42" priority="69" operator="lessThan">
      <formula>0</formula>
    </cfRule>
  </conditionalFormatting>
  <conditionalFormatting sqref="P58:R58 L58:N58">
    <cfRule type="cellIs" dxfId="41" priority="68" operator="lessThan">
      <formula>0</formula>
    </cfRule>
  </conditionalFormatting>
  <conditionalFormatting sqref="L86:N86 P86:R86">
    <cfRule type="cellIs" dxfId="40" priority="67" operator="lessThan">
      <formula>0</formula>
    </cfRule>
  </conditionalFormatting>
  <conditionalFormatting sqref="L65:N65 P65:R65">
    <cfRule type="cellIs" dxfId="39" priority="66" operator="lessThan">
      <formula>0</formula>
    </cfRule>
  </conditionalFormatting>
  <conditionalFormatting sqref="L63:N63 P63:R63">
    <cfRule type="cellIs" dxfId="38" priority="64" operator="lessThan">
      <formula>0</formula>
    </cfRule>
  </conditionalFormatting>
  <conditionalFormatting sqref="L62:N62 P62:R62">
    <cfRule type="cellIs" dxfId="37" priority="63" operator="lessThan">
      <formula>0</formula>
    </cfRule>
  </conditionalFormatting>
  <conditionalFormatting sqref="L66:N68 P66:R68 P85:R85 L85:N85">
    <cfRule type="cellIs" dxfId="36" priority="59" operator="lessThan">
      <formula>0</formula>
    </cfRule>
  </conditionalFormatting>
  <conditionalFormatting sqref="L84:N84 P84:R84">
    <cfRule type="cellIs" dxfId="35" priority="58" operator="lessThan">
      <formula>0</formula>
    </cfRule>
  </conditionalFormatting>
  <conditionalFormatting sqref="L69:N69 P69:R69">
    <cfRule type="cellIs" dxfId="34" priority="53" operator="lessThan">
      <formula>0</formula>
    </cfRule>
  </conditionalFormatting>
  <conditionalFormatting sqref="L42:N42 P42:R42">
    <cfRule type="cellIs" dxfId="33" priority="49" operator="lessThan">
      <formula>0</formula>
    </cfRule>
  </conditionalFormatting>
  <conditionalFormatting sqref="L60:N61 P60:R61">
    <cfRule type="cellIs" dxfId="32" priority="48" operator="lessThan">
      <formula>0</formula>
    </cfRule>
  </conditionalFormatting>
  <conditionalFormatting sqref="L99:N99 P99:R99">
    <cfRule type="cellIs" dxfId="31" priority="45" operator="lessThan">
      <formula>0</formula>
    </cfRule>
  </conditionalFormatting>
  <conditionalFormatting sqref="L101:N101 P101:R101">
    <cfRule type="cellIs" dxfId="30" priority="42" operator="lessThan">
      <formula>0</formula>
    </cfRule>
  </conditionalFormatting>
  <conditionalFormatting sqref="L136:N136 P136:R136">
    <cfRule type="cellIs" dxfId="29" priority="39" operator="lessThan">
      <formula>0</formula>
    </cfRule>
  </conditionalFormatting>
  <conditionalFormatting sqref="L144:N144 P144:R144">
    <cfRule type="cellIs" dxfId="28" priority="38" operator="lessThan">
      <formula>0</formula>
    </cfRule>
  </conditionalFormatting>
  <conditionalFormatting sqref="L160:N160 P160:R160">
    <cfRule type="cellIs" dxfId="27" priority="36" operator="lessThan">
      <formula>0</formula>
    </cfRule>
  </conditionalFormatting>
  <conditionalFormatting sqref="L158:N159 P158:R159">
    <cfRule type="cellIs" dxfId="26" priority="35" operator="lessThan">
      <formula>0</formula>
    </cfRule>
  </conditionalFormatting>
  <conditionalFormatting sqref="L123:N123 P123:R123">
    <cfRule type="cellIs" dxfId="25" priority="34" operator="lessThan">
      <formula>0</formula>
    </cfRule>
  </conditionalFormatting>
  <conditionalFormatting sqref="L148:N148 P148:R148">
    <cfRule type="cellIs" dxfId="24" priority="33" operator="lessThan">
      <formula>0</formula>
    </cfRule>
  </conditionalFormatting>
  <conditionalFormatting sqref="L9:N9 P9:R9">
    <cfRule type="cellIs" dxfId="23" priority="32" operator="lessThan">
      <formula>0</formula>
    </cfRule>
  </conditionalFormatting>
  <conditionalFormatting sqref="L11:N11 P11:R11">
    <cfRule type="cellIs" dxfId="22" priority="31" operator="lessThan">
      <formula>0</formula>
    </cfRule>
  </conditionalFormatting>
  <conditionalFormatting sqref="L14:N14 P14:R14 P16:R16 L16:N16">
    <cfRule type="cellIs" dxfId="21" priority="30" operator="lessThan">
      <formula>0</formula>
    </cfRule>
  </conditionalFormatting>
  <conditionalFormatting sqref="P22:R22 L22:N22">
    <cfRule type="cellIs" dxfId="20" priority="29" operator="lessThan">
      <formula>0</formula>
    </cfRule>
  </conditionalFormatting>
  <conditionalFormatting sqref="L33:N33 P33:R33">
    <cfRule type="cellIs" dxfId="19" priority="28" operator="lessThan">
      <formula>0</formula>
    </cfRule>
  </conditionalFormatting>
  <conditionalFormatting sqref="L32:N32 P32:R32">
    <cfRule type="cellIs" dxfId="18" priority="27" operator="lessThan">
      <formula>0</formula>
    </cfRule>
  </conditionalFormatting>
  <conditionalFormatting sqref="L39:N39 P39:R39">
    <cfRule type="cellIs" dxfId="17" priority="26" operator="lessThan">
      <formula>0</formula>
    </cfRule>
  </conditionalFormatting>
  <conditionalFormatting sqref="L43:N43 P43:R43">
    <cfRule type="cellIs" dxfId="16" priority="25" operator="lessThan">
      <formula>0</formula>
    </cfRule>
  </conditionalFormatting>
  <conditionalFormatting sqref="L49:N49 L52:N52">
    <cfRule type="cellIs" dxfId="15" priority="23" operator="lessThan">
      <formula>0</formula>
    </cfRule>
  </conditionalFormatting>
  <conditionalFormatting sqref="P50:R50">
    <cfRule type="cellIs" dxfId="14" priority="22" operator="lessThan">
      <formula>0</formula>
    </cfRule>
  </conditionalFormatting>
  <conditionalFormatting sqref="L50:N50">
    <cfRule type="cellIs" dxfId="13" priority="21" operator="lessThan">
      <formula>0</formula>
    </cfRule>
  </conditionalFormatting>
  <conditionalFormatting sqref="L81:N81 P81:R81">
    <cfRule type="cellIs" dxfId="12" priority="20" operator="lessThan">
      <formula>0</formula>
    </cfRule>
  </conditionalFormatting>
  <conditionalFormatting sqref="L83:N83 P83:R83">
    <cfRule type="cellIs" dxfId="11" priority="18" operator="lessThan">
      <formula>0</formula>
    </cfRule>
  </conditionalFormatting>
  <conditionalFormatting sqref="P89:R89 L89:N89">
    <cfRule type="cellIs" dxfId="10" priority="17" operator="lessThan">
      <formula>0</formula>
    </cfRule>
  </conditionalFormatting>
  <conditionalFormatting sqref="P88:R88 L88:N88">
    <cfRule type="cellIs" dxfId="9" priority="16" operator="lessThan">
      <formula>0</formula>
    </cfRule>
  </conditionalFormatting>
  <conditionalFormatting sqref="P104:R104 L104:N104 L106:N106 P106:R106">
    <cfRule type="cellIs" dxfId="8" priority="15" operator="lessThan">
      <formula>0</formula>
    </cfRule>
  </conditionalFormatting>
  <conditionalFormatting sqref="L105:N105 P105:R105">
    <cfRule type="cellIs" dxfId="7" priority="14" operator="lessThan">
      <formula>0</formula>
    </cfRule>
  </conditionalFormatting>
  <conditionalFormatting sqref="L118:N118 P118:R118">
    <cfRule type="cellIs" dxfId="6" priority="13" operator="lessThan">
      <formula>0</formula>
    </cfRule>
  </conditionalFormatting>
  <conditionalFormatting sqref="L131:N131 P131:R131">
    <cfRule type="cellIs" dxfId="5" priority="11" operator="lessThan">
      <formula>0</formula>
    </cfRule>
  </conditionalFormatting>
  <conditionalFormatting sqref="L156:N156 P156:R156">
    <cfRule type="cellIs" dxfId="4" priority="9" operator="lessThan">
      <formula>0</formula>
    </cfRule>
  </conditionalFormatting>
  <conditionalFormatting sqref="L153:N155 P153:R155">
    <cfRule type="cellIs" dxfId="3" priority="8" operator="lessThan">
      <formula>0</formula>
    </cfRule>
  </conditionalFormatting>
  <conditionalFormatting sqref="L15:N15 P15:R15">
    <cfRule type="cellIs" dxfId="2" priority="7" operator="lessThan">
      <formula>0</formula>
    </cfRule>
  </conditionalFormatting>
  <conditionalFormatting sqref="L45:N45 P45:R45">
    <cfRule type="cellIs" dxfId="1" priority="6" operator="lessThan">
      <formula>0</formula>
    </cfRule>
  </conditionalFormatting>
  <conditionalFormatting sqref="L122:N122 P122:R122">
    <cfRule type="cellIs" dxfId="0" priority="5" operator="lessThan">
      <formula>0</formula>
    </cfRule>
  </conditionalFormatting>
  <printOptions horizontalCentered="1"/>
  <pageMargins left="0.19685039370078741" right="0.19685039370078741" top="0.39370078740157483" bottom="0.19685039370078741" header="0" footer="0"/>
  <pageSetup paperSize="9" scale="37" orientation="portrait" horizontalDpi="180" verticalDpi="180" r:id="rId1"/>
  <headerFooter alignWithMargins="0"/>
  <rowBreaks count="1" manualBreakCount="1">
    <brk id="93" max="24" man="1"/>
  </rowBreaks>
  <ignoredErrors>
    <ignoredError sqref="O9:O26 O32:O52 O88:O92 O98:O164 O58:O86" formulaRange="1"/>
    <ignoredError sqref="Z28 Z54 Z94" unlockedFormula="1"/>
    <ignoredError sqref="C8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9"/>
  <sheetViews>
    <sheetView topLeftCell="G1" workbookViewId="0">
      <selection activeCell="P16" sqref="P16"/>
    </sheetView>
  </sheetViews>
  <sheetFormatPr baseColWidth="10" defaultRowHeight="12.75" x14ac:dyDescent="0.2"/>
  <sheetData>
    <row r="1" spans="1:66" x14ac:dyDescent="0.2">
      <c r="C1" s="65" t="s">
        <v>15</v>
      </c>
      <c r="D1" s="65" t="s">
        <v>16</v>
      </c>
      <c r="E1" s="65" t="s">
        <v>17</v>
      </c>
      <c r="F1" s="65" t="s">
        <v>18</v>
      </c>
      <c r="G1" s="65" t="s">
        <v>19</v>
      </c>
      <c r="H1" s="65" t="s">
        <v>20</v>
      </c>
      <c r="I1" s="65" t="s">
        <v>21</v>
      </c>
      <c r="J1" s="65" t="s">
        <v>22</v>
      </c>
      <c r="K1" s="65" t="s">
        <v>23</v>
      </c>
      <c r="L1" s="65" t="s">
        <v>24</v>
      </c>
      <c r="M1" s="65" t="s">
        <v>25</v>
      </c>
      <c r="N1" s="65" t="s">
        <v>26</v>
      </c>
      <c r="O1" s="65" t="s">
        <v>27</v>
      </c>
      <c r="P1" s="65" t="s">
        <v>28</v>
      </c>
      <c r="Q1" s="65" t="s">
        <v>104</v>
      </c>
      <c r="R1" s="65" t="s">
        <v>105</v>
      </c>
      <c r="S1" s="65" t="s">
        <v>87</v>
      </c>
      <c r="T1" s="65" t="s">
        <v>88</v>
      </c>
      <c r="U1" s="65" t="s">
        <v>89</v>
      </c>
      <c r="V1" s="65" t="s">
        <v>90</v>
      </c>
      <c r="W1" s="65" t="s">
        <v>91</v>
      </c>
      <c r="X1" s="65" t="s">
        <v>92</v>
      </c>
      <c r="Y1" s="65" t="s">
        <v>102</v>
      </c>
      <c r="Z1" s="65" t="s">
        <v>103</v>
      </c>
      <c r="AA1" s="65" t="s">
        <v>93</v>
      </c>
      <c r="AB1" s="65" t="s">
        <v>94</v>
      </c>
      <c r="AC1" s="65" t="s">
        <v>95</v>
      </c>
      <c r="AD1" s="65" t="s">
        <v>96</v>
      </c>
      <c r="AE1" s="65" t="s">
        <v>97</v>
      </c>
      <c r="AF1" s="65" t="s">
        <v>98</v>
      </c>
      <c r="AG1" s="65" t="s">
        <v>100</v>
      </c>
      <c r="AH1" s="65" t="s">
        <v>101</v>
      </c>
      <c r="AI1" s="65" t="s">
        <v>29</v>
      </c>
      <c r="AJ1" s="65" t="s">
        <v>30</v>
      </c>
      <c r="AK1" s="65" t="s">
        <v>31</v>
      </c>
      <c r="AL1" s="65" t="s">
        <v>32</v>
      </c>
      <c r="AM1" s="65" t="s">
        <v>33</v>
      </c>
      <c r="AN1" s="65" t="s">
        <v>34</v>
      </c>
      <c r="AO1" s="65" t="s">
        <v>35</v>
      </c>
      <c r="AP1" s="65" t="s">
        <v>99</v>
      </c>
      <c r="AQ1" s="65" t="s">
        <v>36</v>
      </c>
      <c r="AR1" s="65" t="s">
        <v>37</v>
      </c>
      <c r="AS1" s="65" t="s">
        <v>38</v>
      </c>
      <c r="AT1" s="65" t="s">
        <v>39</v>
      </c>
      <c r="AU1" s="65" t="s">
        <v>40</v>
      </c>
      <c r="AV1" s="65" t="s">
        <v>41</v>
      </c>
      <c r="AW1" s="65" t="s">
        <v>42</v>
      </c>
      <c r="AX1" s="65" t="s">
        <v>43</v>
      </c>
      <c r="AY1" s="65" t="s">
        <v>71</v>
      </c>
      <c r="AZ1" s="65" t="s">
        <v>72</v>
      </c>
      <c r="BA1" s="65" t="s">
        <v>73</v>
      </c>
      <c r="BB1" s="65" t="s">
        <v>74</v>
      </c>
      <c r="BC1" s="65" t="s">
        <v>75</v>
      </c>
      <c r="BD1" s="65" t="s">
        <v>76</v>
      </c>
      <c r="BE1" s="65" t="s">
        <v>77</v>
      </c>
      <c r="BF1" s="65" t="s">
        <v>78</v>
      </c>
      <c r="BG1" s="65" t="s">
        <v>79</v>
      </c>
      <c r="BH1" s="65" t="s">
        <v>80</v>
      </c>
      <c r="BI1" s="65" t="s">
        <v>81</v>
      </c>
      <c r="BJ1" s="65" t="s">
        <v>82</v>
      </c>
      <c r="BK1" s="65" t="s">
        <v>83</v>
      </c>
      <c r="BL1" s="65" t="s">
        <v>84</v>
      </c>
      <c r="BM1" s="65" t="s">
        <v>85</v>
      </c>
      <c r="BN1" s="65" t="s">
        <v>86</v>
      </c>
    </row>
    <row r="2" spans="1:66" x14ac:dyDescent="0.2">
      <c r="B2" s="65" t="s">
        <v>44</v>
      </c>
      <c r="C2" s="66">
        <v>20</v>
      </c>
      <c r="D2" s="66">
        <v>25</v>
      </c>
      <c r="E2" s="66">
        <v>30</v>
      </c>
      <c r="F2" s="66">
        <v>35</v>
      </c>
      <c r="G2" s="66">
        <v>40</v>
      </c>
      <c r="H2" s="66">
        <v>45</v>
      </c>
      <c r="I2" s="66">
        <v>50</v>
      </c>
      <c r="J2" s="66">
        <v>60</v>
      </c>
      <c r="K2" s="67">
        <v>30</v>
      </c>
      <c r="L2" s="67">
        <v>35</v>
      </c>
      <c r="M2" s="67">
        <v>45</v>
      </c>
      <c r="N2" s="67">
        <v>50</v>
      </c>
      <c r="O2" s="67">
        <v>55</v>
      </c>
      <c r="P2" s="67">
        <v>60</v>
      </c>
      <c r="Q2" s="67">
        <v>65</v>
      </c>
      <c r="R2" s="67">
        <v>70</v>
      </c>
      <c r="S2" s="68">
        <v>45</v>
      </c>
      <c r="T2" s="68">
        <v>55</v>
      </c>
      <c r="U2" s="68">
        <v>60</v>
      </c>
      <c r="V2" s="68">
        <v>65</v>
      </c>
      <c r="W2" s="68">
        <v>70</v>
      </c>
      <c r="X2" s="68">
        <v>80</v>
      </c>
      <c r="Y2" s="68">
        <v>85</v>
      </c>
      <c r="Z2" s="68">
        <v>90</v>
      </c>
      <c r="AA2" s="69">
        <v>55</v>
      </c>
      <c r="AB2" s="69">
        <v>65</v>
      </c>
      <c r="AC2" s="69">
        <v>70</v>
      </c>
      <c r="AD2" s="69">
        <v>75</v>
      </c>
      <c r="AE2" s="69">
        <v>80</v>
      </c>
      <c r="AF2" s="69">
        <v>90</v>
      </c>
      <c r="AG2" s="69">
        <v>95</v>
      </c>
      <c r="AH2" s="69">
        <v>100</v>
      </c>
      <c r="AI2" s="67">
        <v>35</v>
      </c>
      <c r="AJ2" s="67">
        <v>40</v>
      </c>
      <c r="AK2" s="67">
        <v>50</v>
      </c>
      <c r="AL2" s="67">
        <v>75</v>
      </c>
      <c r="AM2" s="67">
        <v>85</v>
      </c>
      <c r="AN2" s="67">
        <v>90</v>
      </c>
      <c r="AO2" s="67">
        <v>100</v>
      </c>
      <c r="AP2" s="67">
        <v>110</v>
      </c>
      <c r="AQ2" s="70">
        <v>45</v>
      </c>
      <c r="AR2" s="70">
        <v>65</v>
      </c>
      <c r="AS2" s="70">
        <v>85</v>
      </c>
      <c r="AT2" s="70">
        <v>95</v>
      </c>
      <c r="AU2" s="70">
        <v>110</v>
      </c>
      <c r="AV2" s="70">
        <v>120</v>
      </c>
      <c r="AW2" s="70">
        <v>125</v>
      </c>
      <c r="AX2" s="70">
        <v>135</v>
      </c>
      <c r="AY2" s="67">
        <v>80</v>
      </c>
      <c r="AZ2" s="67">
        <v>90</v>
      </c>
      <c r="BA2" s="67">
        <v>110</v>
      </c>
      <c r="BB2" s="67">
        <v>130</v>
      </c>
      <c r="BC2" s="67">
        <v>145</v>
      </c>
      <c r="BD2" s="67">
        <v>150</v>
      </c>
      <c r="BE2" s="67">
        <v>155</v>
      </c>
      <c r="BF2" s="67">
        <v>165</v>
      </c>
      <c r="BG2" s="71">
        <v>95</v>
      </c>
      <c r="BH2" s="71">
        <v>115</v>
      </c>
      <c r="BI2" s="71">
        <v>130</v>
      </c>
      <c r="BJ2" s="71">
        <v>150</v>
      </c>
      <c r="BK2" s="71">
        <v>165</v>
      </c>
      <c r="BL2" s="71">
        <v>170</v>
      </c>
      <c r="BM2" s="71">
        <v>175</v>
      </c>
      <c r="BN2" s="71">
        <v>185</v>
      </c>
    </row>
    <row r="3" spans="1:66" x14ac:dyDescent="0.2">
      <c r="B3" t="s">
        <v>45</v>
      </c>
      <c r="C3" s="66">
        <v>25</v>
      </c>
      <c r="D3" s="66">
        <v>30</v>
      </c>
      <c r="E3" s="66">
        <v>35</v>
      </c>
      <c r="F3" s="66">
        <v>45</v>
      </c>
      <c r="G3" s="66">
        <v>50</v>
      </c>
      <c r="H3" s="66">
        <v>55</v>
      </c>
      <c r="I3" s="66">
        <v>60</v>
      </c>
      <c r="J3" s="66">
        <v>70</v>
      </c>
      <c r="K3" s="67">
        <v>40</v>
      </c>
      <c r="L3" s="67">
        <v>45</v>
      </c>
      <c r="M3" s="67">
        <v>55</v>
      </c>
      <c r="N3" s="67">
        <v>60</v>
      </c>
      <c r="O3" s="67">
        <v>65</v>
      </c>
      <c r="P3" s="67">
        <v>70</v>
      </c>
      <c r="Q3" s="67">
        <v>75</v>
      </c>
      <c r="R3" s="67">
        <v>80</v>
      </c>
      <c r="S3" s="68">
        <v>55</v>
      </c>
      <c r="T3" s="68">
        <v>65</v>
      </c>
      <c r="U3" s="68">
        <v>70</v>
      </c>
      <c r="V3" s="68">
        <v>75</v>
      </c>
      <c r="W3" s="68">
        <v>80</v>
      </c>
      <c r="X3" s="68">
        <v>90</v>
      </c>
      <c r="Y3" s="68">
        <v>95</v>
      </c>
      <c r="Z3" s="68">
        <v>100</v>
      </c>
      <c r="AA3" s="69">
        <v>65</v>
      </c>
      <c r="AB3" s="69">
        <v>75</v>
      </c>
      <c r="AC3" s="69">
        <v>80</v>
      </c>
      <c r="AD3" s="69">
        <v>85</v>
      </c>
      <c r="AE3" s="69">
        <v>90</v>
      </c>
      <c r="AF3" s="69">
        <v>100</v>
      </c>
      <c r="AG3" s="69">
        <v>105</v>
      </c>
      <c r="AH3" s="69">
        <v>110</v>
      </c>
      <c r="AI3" s="72">
        <v>50</v>
      </c>
      <c r="AJ3" s="72">
        <v>55</v>
      </c>
      <c r="AK3" s="72">
        <v>70</v>
      </c>
      <c r="AL3" s="72">
        <v>95</v>
      </c>
      <c r="AM3" s="72">
        <v>105</v>
      </c>
      <c r="AN3" s="72">
        <v>110</v>
      </c>
      <c r="AO3" s="72">
        <v>120</v>
      </c>
      <c r="AP3" s="72">
        <v>130</v>
      </c>
      <c r="AQ3" s="73">
        <v>65</v>
      </c>
      <c r="AR3" s="73">
        <v>85</v>
      </c>
      <c r="AS3" s="73">
        <v>105</v>
      </c>
      <c r="AT3" s="73">
        <v>115</v>
      </c>
      <c r="AU3" s="73">
        <v>130</v>
      </c>
      <c r="AV3" s="73">
        <v>140</v>
      </c>
      <c r="AW3" s="73">
        <v>145</v>
      </c>
      <c r="AX3" s="73">
        <v>155</v>
      </c>
      <c r="AY3" s="72">
        <v>100</v>
      </c>
      <c r="AZ3" s="72">
        <v>115</v>
      </c>
      <c r="BA3" s="72">
        <v>130</v>
      </c>
      <c r="BB3" s="72">
        <v>150</v>
      </c>
      <c r="BC3" s="72">
        <v>165</v>
      </c>
      <c r="BD3" s="72">
        <v>170</v>
      </c>
      <c r="BE3" s="72">
        <v>175</v>
      </c>
      <c r="BF3" s="72">
        <v>185</v>
      </c>
      <c r="BG3" s="74">
        <v>115</v>
      </c>
      <c r="BH3" s="74">
        <v>135</v>
      </c>
      <c r="BI3" s="74">
        <v>150</v>
      </c>
      <c r="BJ3" s="74">
        <v>170</v>
      </c>
      <c r="BK3" s="74">
        <v>185</v>
      </c>
      <c r="BL3" s="74">
        <v>190</v>
      </c>
      <c r="BM3" s="74">
        <v>195</v>
      </c>
      <c r="BN3" s="74">
        <v>205</v>
      </c>
    </row>
    <row r="4" spans="1:66" x14ac:dyDescent="0.2">
      <c r="B4" t="s">
        <v>46</v>
      </c>
      <c r="C4" s="66">
        <v>35</v>
      </c>
      <c r="D4" s="66">
        <v>40</v>
      </c>
      <c r="E4" s="66">
        <v>45</v>
      </c>
      <c r="F4" s="66">
        <v>55</v>
      </c>
      <c r="G4" s="66">
        <v>60</v>
      </c>
      <c r="H4" s="66">
        <v>65</v>
      </c>
      <c r="I4" s="66">
        <v>70</v>
      </c>
      <c r="J4" s="66">
        <v>80</v>
      </c>
      <c r="K4" s="67">
        <v>50</v>
      </c>
      <c r="L4" s="67">
        <v>55</v>
      </c>
      <c r="M4" s="67">
        <v>65</v>
      </c>
      <c r="N4" s="67">
        <v>70</v>
      </c>
      <c r="O4" s="67">
        <v>75</v>
      </c>
      <c r="P4" s="67">
        <v>80</v>
      </c>
      <c r="Q4" s="67">
        <v>90</v>
      </c>
      <c r="R4" s="67">
        <v>95</v>
      </c>
      <c r="S4" s="68">
        <v>65</v>
      </c>
      <c r="T4" s="68">
        <v>75</v>
      </c>
      <c r="U4" s="68">
        <v>80</v>
      </c>
      <c r="V4" s="68">
        <v>85</v>
      </c>
      <c r="W4" s="68">
        <v>90</v>
      </c>
      <c r="X4" s="68">
        <v>105</v>
      </c>
      <c r="Y4" s="68">
        <v>110</v>
      </c>
      <c r="Z4" s="68">
        <v>115</v>
      </c>
      <c r="AA4" s="69">
        <v>75</v>
      </c>
      <c r="AB4" s="69">
        <v>85</v>
      </c>
      <c r="AC4" s="69">
        <v>90</v>
      </c>
      <c r="AD4" s="69">
        <v>95</v>
      </c>
      <c r="AE4" s="69">
        <v>105</v>
      </c>
      <c r="AF4" s="69">
        <v>115</v>
      </c>
      <c r="AG4" s="69">
        <v>120</v>
      </c>
      <c r="AH4" s="69">
        <v>125</v>
      </c>
      <c r="AI4" s="72">
        <v>60</v>
      </c>
      <c r="AJ4" s="72">
        <v>65</v>
      </c>
      <c r="AK4" s="72">
        <v>85</v>
      </c>
      <c r="AL4" s="72">
        <v>105</v>
      </c>
      <c r="AM4" s="72">
        <v>115</v>
      </c>
      <c r="AN4" s="72">
        <v>130</v>
      </c>
      <c r="AO4" s="72">
        <v>140</v>
      </c>
      <c r="AP4" s="72">
        <v>145</v>
      </c>
      <c r="AQ4" s="73">
        <v>80</v>
      </c>
      <c r="AR4" s="73">
        <v>100</v>
      </c>
      <c r="AS4" s="73">
        <v>120</v>
      </c>
      <c r="AT4" s="73">
        <v>130</v>
      </c>
      <c r="AU4" s="73">
        <v>150</v>
      </c>
      <c r="AV4" s="73">
        <v>160</v>
      </c>
      <c r="AW4" s="73">
        <v>165</v>
      </c>
      <c r="AX4" s="73">
        <v>175</v>
      </c>
      <c r="AY4" s="72">
        <v>115</v>
      </c>
      <c r="AZ4" s="72">
        <v>135</v>
      </c>
      <c r="BA4" s="72">
        <v>150</v>
      </c>
      <c r="BB4" s="72">
        <v>170</v>
      </c>
      <c r="BC4" s="72">
        <v>185</v>
      </c>
      <c r="BD4" s="72">
        <v>190</v>
      </c>
      <c r="BE4" s="72">
        <v>195</v>
      </c>
      <c r="BF4" s="72">
        <v>205</v>
      </c>
      <c r="BG4" s="74">
        <v>130</v>
      </c>
      <c r="BH4" s="74">
        <v>150</v>
      </c>
      <c r="BI4" s="74">
        <v>170</v>
      </c>
      <c r="BJ4" s="74">
        <v>190</v>
      </c>
      <c r="BK4" s="74">
        <v>205</v>
      </c>
      <c r="BL4" s="74">
        <v>215</v>
      </c>
      <c r="BM4" s="74">
        <v>220</v>
      </c>
      <c r="BN4" s="74">
        <v>225</v>
      </c>
    </row>
    <row r="5" spans="1:66" x14ac:dyDescent="0.2">
      <c r="B5" t="s">
        <v>47</v>
      </c>
      <c r="C5" s="66">
        <v>45</v>
      </c>
      <c r="D5" s="66">
        <v>50</v>
      </c>
      <c r="E5" s="66">
        <v>55</v>
      </c>
      <c r="F5" s="66">
        <v>65</v>
      </c>
      <c r="G5" s="66">
        <v>70</v>
      </c>
      <c r="H5" s="66">
        <v>75</v>
      </c>
      <c r="I5" s="66">
        <v>80</v>
      </c>
      <c r="J5" s="66">
        <v>90</v>
      </c>
      <c r="K5" s="67">
        <v>60</v>
      </c>
      <c r="L5" s="67">
        <v>65</v>
      </c>
      <c r="M5" s="67">
        <v>75</v>
      </c>
      <c r="N5" s="67">
        <v>80</v>
      </c>
      <c r="O5" s="67">
        <v>85</v>
      </c>
      <c r="P5" s="67">
        <v>90</v>
      </c>
      <c r="Q5" s="67">
        <v>100</v>
      </c>
      <c r="R5" s="67">
        <v>105</v>
      </c>
      <c r="S5" s="68">
        <v>75</v>
      </c>
      <c r="T5" s="68">
        <v>85</v>
      </c>
      <c r="U5" s="68">
        <v>90</v>
      </c>
      <c r="V5" s="68">
        <v>100</v>
      </c>
      <c r="W5" s="68">
        <v>105</v>
      </c>
      <c r="X5" s="68">
        <v>115</v>
      </c>
      <c r="Y5" s="68">
        <v>120</v>
      </c>
      <c r="Z5" s="68">
        <v>125</v>
      </c>
      <c r="AA5" s="69">
        <v>85</v>
      </c>
      <c r="AB5" s="69">
        <v>100</v>
      </c>
      <c r="AC5" s="69">
        <v>105</v>
      </c>
      <c r="AD5" s="69">
        <v>110</v>
      </c>
      <c r="AE5" s="69">
        <v>120</v>
      </c>
      <c r="AF5" s="69">
        <v>130</v>
      </c>
      <c r="AG5" s="69">
        <v>135</v>
      </c>
      <c r="AH5" s="69">
        <v>140</v>
      </c>
      <c r="AI5" s="72">
        <v>75</v>
      </c>
      <c r="AJ5" s="72">
        <v>80</v>
      </c>
      <c r="AK5" s="72">
        <v>100</v>
      </c>
      <c r="AL5" s="72">
        <v>120</v>
      </c>
      <c r="AM5" s="72">
        <v>130</v>
      </c>
      <c r="AN5" s="72">
        <v>150</v>
      </c>
      <c r="AO5" s="72">
        <v>160</v>
      </c>
      <c r="AP5" s="72">
        <v>165</v>
      </c>
      <c r="AQ5" s="73">
        <v>95</v>
      </c>
      <c r="AR5" s="73">
        <v>115</v>
      </c>
      <c r="AS5" s="73">
        <v>135</v>
      </c>
      <c r="AT5" s="73">
        <v>150</v>
      </c>
      <c r="AU5" s="73">
        <v>170</v>
      </c>
      <c r="AV5" s="73">
        <v>180</v>
      </c>
      <c r="AW5" s="73">
        <v>185</v>
      </c>
      <c r="AX5" s="73">
        <v>195</v>
      </c>
      <c r="AY5" s="72">
        <v>130</v>
      </c>
      <c r="AZ5" s="72">
        <v>150</v>
      </c>
      <c r="BA5" s="72">
        <v>170</v>
      </c>
      <c r="BB5" s="72">
        <v>190</v>
      </c>
      <c r="BC5" s="72">
        <v>205</v>
      </c>
      <c r="BD5" s="72">
        <v>215</v>
      </c>
      <c r="BE5" s="72">
        <v>220</v>
      </c>
      <c r="BF5" s="72">
        <v>225</v>
      </c>
      <c r="BG5" s="74">
        <v>145</v>
      </c>
      <c r="BH5" s="74">
        <v>170</v>
      </c>
      <c r="BI5" s="74">
        <v>195</v>
      </c>
      <c r="BJ5" s="74">
        <v>215</v>
      </c>
      <c r="BK5" s="74">
        <v>225</v>
      </c>
      <c r="BL5" s="74">
        <v>235</v>
      </c>
      <c r="BM5" s="74">
        <v>245</v>
      </c>
      <c r="BN5" s="74">
        <v>250</v>
      </c>
    </row>
    <row r="6" spans="1:66" x14ac:dyDescent="0.2">
      <c r="B6" t="s">
        <v>48</v>
      </c>
      <c r="C6" s="66">
        <v>55</v>
      </c>
      <c r="D6" s="66">
        <v>65</v>
      </c>
      <c r="E6" s="66">
        <v>70</v>
      </c>
      <c r="F6" s="66">
        <v>80</v>
      </c>
      <c r="G6" s="66">
        <v>85</v>
      </c>
      <c r="H6" s="66">
        <v>90</v>
      </c>
      <c r="I6" s="66">
        <v>95</v>
      </c>
      <c r="J6" s="66">
        <v>105</v>
      </c>
      <c r="K6" s="67">
        <v>75</v>
      </c>
      <c r="L6" s="67">
        <v>80</v>
      </c>
      <c r="M6" s="67">
        <v>90</v>
      </c>
      <c r="N6" s="67">
        <v>95</v>
      </c>
      <c r="O6" s="67">
        <v>100</v>
      </c>
      <c r="P6" s="67">
        <v>105</v>
      </c>
      <c r="Q6" s="67">
        <v>110</v>
      </c>
      <c r="R6" s="67">
        <v>115</v>
      </c>
      <c r="S6" s="68">
        <v>90</v>
      </c>
      <c r="T6" s="68">
        <v>100</v>
      </c>
      <c r="U6" s="68">
        <v>105</v>
      </c>
      <c r="V6" s="68">
        <v>115</v>
      </c>
      <c r="W6" s="68">
        <v>120</v>
      </c>
      <c r="X6" s="68">
        <v>130</v>
      </c>
      <c r="Y6" s="68">
        <v>135</v>
      </c>
      <c r="Z6" s="68">
        <v>140</v>
      </c>
      <c r="AA6" s="69">
        <v>100</v>
      </c>
      <c r="AB6" s="69">
        <v>115</v>
      </c>
      <c r="AC6" s="69">
        <v>125</v>
      </c>
      <c r="AD6" s="69">
        <v>130</v>
      </c>
      <c r="AE6" s="69">
        <v>140</v>
      </c>
      <c r="AF6" s="69">
        <v>145</v>
      </c>
      <c r="AG6" s="69">
        <v>150</v>
      </c>
      <c r="AH6" s="69">
        <v>155</v>
      </c>
      <c r="AI6" s="72">
        <v>90</v>
      </c>
      <c r="AJ6" s="72">
        <v>95</v>
      </c>
      <c r="AK6" s="72">
        <v>115</v>
      </c>
      <c r="AL6" s="72">
        <v>135</v>
      </c>
      <c r="AM6" s="72">
        <v>150</v>
      </c>
      <c r="AN6" s="72">
        <v>170</v>
      </c>
      <c r="AO6" s="72">
        <v>180</v>
      </c>
      <c r="AP6" s="72">
        <v>185</v>
      </c>
      <c r="AQ6" s="73">
        <v>110</v>
      </c>
      <c r="AR6" s="73">
        <v>130</v>
      </c>
      <c r="AS6" s="73">
        <v>150</v>
      </c>
      <c r="AT6" s="73">
        <v>170</v>
      </c>
      <c r="AU6" s="73">
        <v>185</v>
      </c>
      <c r="AV6" s="73">
        <v>200</v>
      </c>
      <c r="AW6" s="73">
        <v>210</v>
      </c>
      <c r="AX6" s="73">
        <v>220</v>
      </c>
      <c r="AY6" s="72">
        <v>145</v>
      </c>
      <c r="AZ6" s="72">
        <v>170</v>
      </c>
      <c r="BA6" s="72">
        <v>190</v>
      </c>
      <c r="BB6" s="72">
        <v>210</v>
      </c>
      <c r="BC6" s="72">
        <v>225</v>
      </c>
      <c r="BD6" s="72">
        <v>235</v>
      </c>
      <c r="BE6" s="72">
        <v>245</v>
      </c>
      <c r="BF6" s="72">
        <v>250</v>
      </c>
      <c r="BG6" s="74">
        <v>170</v>
      </c>
      <c r="BH6" s="74">
        <v>195</v>
      </c>
      <c r="BI6" s="74">
        <v>225</v>
      </c>
      <c r="BJ6" s="74">
        <v>245</v>
      </c>
      <c r="BK6" s="74">
        <v>255</v>
      </c>
      <c r="BL6" s="74">
        <v>265</v>
      </c>
      <c r="BM6" s="74">
        <v>275</v>
      </c>
      <c r="BN6" s="74">
        <v>280</v>
      </c>
    </row>
    <row r="7" spans="1:66" x14ac:dyDescent="0.2">
      <c r="B7" t="s">
        <v>49</v>
      </c>
      <c r="C7" s="66">
        <v>65</v>
      </c>
      <c r="D7" s="66">
        <v>75</v>
      </c>
      <c r="E7" s="66">
        <v>80</v>
      </c>
      <c r="F7" s="66">
        <v>90</v>
      </c>
      <c r="G7" s="66">
        <v>95</v>
      </c>
      <c r="H7" s="66">
        <v>100</v>
      </c>
      <c r="I7" s="66">
        <v>105</v>
      </c>
      <c r="J7" s="66">
        <v>115</v>
      </c>
      <c r="K7" s="67">
        <v>85</v>
      </c>
      <c r="L7" s="67">
        <v>90</v>
      </c>
      <c r="M7" s="67">
        <v>100</v>
      </c>
      <c r="N7" s="67">
        <v>105</v>
      </c>
      <c r="O7" s="67">
        <v>115</v>
      </c>
      <c r="P7" s="67">
        <v>120</v>
      </c>
      <c r="Q7" s="67">
        <v>125</v>
      </c>
      <c r="R7" s="67">
        <v>130</v>
      </c>
      <c r="S7" s="68">
        <v>100</v>
      </c>
      <c r="T7" s="68">
        <v>110</v>
      </c>
      <c r="U7" s="68">
        <v>120</v>
      </c>
      <c r="V7" s="68">
        <v>130</v>
      </c>
      <c r="W7" s="68">
        <v>140</v>
      </c>
      <c r="X7" s="68">
        <v>145</v>
      </c>
      <c r="Y7" s="68">
        <v>150</v>
      </c>
      <c r="Z7" s="68">
        <v>155</v>
      </c>
      <c r="AA7" s="69">
        <v>115</v>
      </c>
      <c r="AB7" s="69">
        <v>130</v>
      </c>
      <c r="AC7" s="69">
        <v>140</v>
      </c>
      <c r="AD7" s="69">
        <v>150</v>
      </c>
      <c r="AE7" s="69">
        <v>160</v>
      </c>
      <c r="AF7" s="69">
        <v>165</v>
      </c>
      <c r="AG7" s="69">
        <v>170</v>
      </c>
      <c r="AH7" s="69">
        <v>175</v>
      </c>
      <c r="AI7" s="72">
        <v>105</v>
      </c>
      <c r="AJ7" s="72">
        <v>110</v>
      </c>
      <c r="AK7" s="72">
        <v>130</v>
      </c>
      <c r="AL7" s="72">
        <v>150</v>
      </c>
      <c r="AM7" s="72">
        <v>170</v>
      </c>
      <c r="AN7" s="72">
        <v>185</v>
      </c>
      <c r="AO7" s="72">
        <v>200</v>
      </c>
      <c r="AP7" s="72">
        <v>210</v>
      </c>
      <c r="AQ7" s="73">
        <v>120</v>
      </c>
      <c r="AR7" s="73">
        <v>145</v>
      </c>
      <c r="AS7" s="73">
        <v>170</v>
      </c>
      <c r="AT7" s="73">
        <v>190</v>
      </c>
      <c r="AU7" s="73">
        <v>200</v>
      </c>
      <c r="AV7" s="73">
        <v>220</v>
      </c>
      <c r="AW7" s="73">
        <v>225</v>
      </c>
      <c r="AX7" s="73">
        <v>235</v>
      </c>
      <c r="AY7" s="72">
        <v>170</v>
      </c>
      <c r="AZ7" s="72">
        <v>190</v>
      </c>
      <c r="BA7" s="72">
        <v>220</v>
      </c>
      <c r="BB7" s="72">
        <v>240</v>
      </c>
      <c r="BC7" s="72">
        <v>250</v>
      </c>
      <c r="BD7" s="72">
        <v>260</v>
      </c>
      <c r="BE7" s="72">
        <v>270</v>
      </c>
      <c r="BF7" s="72">
        <v>280</v>
      </c>
      <c r="BG7" s="74">
        <v>190</v>
      </c>
      <c r="BH7" s="74">
        <v>210</v>
      </c>
      <c r="BI7" s="74">
        <v>240</v>
      </c>
      <c r="BJ7" s="74">
        <v>265</v>
      </c>
      <c r="BK7" s="74">
        <v>280</v>
      </c>
      <c r="BL7" s="74">
        <v>290</v>
      </c>
      <c r="BM7" s="74">
        <v>300</v>
      </c>
      <c r="BN7" s="74">
        <v>310</v>
      </c>
    </row>
    <row r="8" spans="1:66" x14ac:dyDescent="0.2">
      <c r="B8" t="s">
        <v>50</v>
      </c>
      <c r="C8" s="66">
        <v>75</v>
      </c>
      <c r="D8" s="66">
        <v>85</v>
      </c>
      <c r="E8" s="66">
        <v>90</v>
      </c>
      <c r="F8" s="66">
        <v>100</v>
      </c>
      <c r="G8" s="66">
        <v>105</v>
      </c>
      <c r="H8" s="66">
        <v>115</v>
      </c>
      <c r="I8" s="66">
        <v>120</v>
      </c>
      <c r="J8" s="66">
        <v>130</v>
      </c>
      <c r="K8" s="67">
        <v>95</v>
      </c>
      <c r="L8" s="67">
        <v>100</v>
      </c>
      <c r="M8" s="67">
        <v>110</v>
      </c>
      <c r="N8" s="67">
        <v>120</v>
      </c>
      <c r="O8" s="67">
        <v>130</v>
      </c>
      <c r="P8" s="67">
        <v>135</v>
      </c>
      <c r="Q8" s="67">
        <v>140</v>
      </c>
      <c r="R8" s="67">
        <v>145</v>
      </c>
      <c r="S8" s="68">
        <v>115</v>
      </c>
      <c r="T8" s="68">
        <v>125</v>
      </c>
      <c r="U8" s="68">
        <v>135</v>
      </c>
      <c r="V8" s="68">
        <v>145</v>
      </c>
      <c r="W8" s="68">
        <v>155</v>
      </c>
      <c r="X8" s="68">
        <v>160</v>
      </c>
      <c r="Y8" s="68">
        <v>165</v>
      </c>
      <c r="Z8" s="68">
        <v>170</v>
      </c>
      <c r="AA8" s="69">
        <v>130</v>
      </c>
      <c r="AB8" s="69">
        <v>150</v>
      </c>
      <c r="AC8" s="69">
        <v>160</v>
      </c>
      <c r="AD8" s="69">
        <v>170</v>
      </c>
      <c r="AE8" s="69">
        <v>180</v>
      </c>
      <c r="AF8" s="69">
        <v>185</v>
      </c>
      <c r="AG8" s="69">
        <v>190</v>
      </c>
      <c r="AH8" s="69">
        <v>195</v>
      </c>
      <c r="AI8" s="72">
        <v>115</v>
      </c>
      <c r="AJ8" s="72">
        <v>120</v>
      </c>
      <c r="AK8" s="72">
        <v>145</v>
      </c>
      <c r="AL8" s="72">
        <v>170</v>
      </c>
      <c r="AM8" s="72">
        <v>190</v>
      </c>
      <c r="AN8" s="72">
        <v>200</v>
      </c>
      <c r="AO8" s="72">
        <v>220</v>
      </c>
      <c r="AP8" s="72">
        <v>230</v>
      </c>
      <c r="AQ8" s="73">
        <v>135</v>
      </c>
      <c r="AR8" s="73">
        <v>170</v>
      </c>
      <c r="AS8" s="73">
        <v>190</v>
      </c>
      <c r="AT8" s="73">
        <v>210</v>
      </c>
      <c r="AU8" s="73">
        <v>220</v>
      </c>
      <c r="AV8" s="73">
        <v>240</v>
      </c>
      <c r="AW8" s="73">
        <v>250</v>
      </c>
      <c r="AX8" s="73">
        <v>260</v>
      </c>
      <c r="AY8" s="72">
        <v>190</v>
      </c>
      <c r="AZ8" s="72">
        <v>210</v>
      </c>
      <c r="BA8" s="72">
        <v>240</v>
      </c>
      <c r="BB8" s="72">
        <v>260</v>
      </c>
      <c r="BC8" s="72">
        <v>280</v>
      </c>
      <c r="BD8" s="72">
        <v>290</v>
      </c>
      <c r="BE8" s="72">
        <v>300</v>
      </c>
      <c r="BF8" s="72">
        <v>310</v>
      </c>
      <c r="BG8" s="74">
        <v>210</v>
      </c>
      <c r="BH8" s="74">
        <v>230</v>
      </c>
      <c r="BI8" s="74">
        <v>260</v>
      </c>
      <c r="BJ8" s="74">
        <v>285</v>
      </c>
      <c r="BK8" s="74">
        <v>300</v>
      </c>
      <c r="BL8" s="74">
        <v>310</v>
      </c>
      <c r="BM8" s="74">
        <v>325</v>
      </c>
      <c r="BN8" s="74">
        <v>330</v>
      </c>
    </row>
    <row r="9" spans="1:66" x14ac:dyDescent="0.2">
      <c r="B9" t="s">
        <v>51</v>
      </c>
      <c r="C9" s="66">
        <v>85</v>
      </c>
      <c r="D9" s="66">
        <v>95</v>
      </c>
      <c r="E9" s="66">
        <v>100</v>
      </c>
      <c r="F9" s="66">
        <v>110</v>
      </c>
      <c r="G9" s="66">
        <v>120</v>
      </c>
      <c r="H9" s="66">
        <v>130</v>
      </c>
      <c r="I9" s="66">
        <v>135</v>
      </c>
      <c r="J9" s="66">
        <v>145</v>
      </c>
      <c r="K9" s="67">
        <v>105</v>
      </c>
      <c r="L9" s="67">
        <v>115</v>
      </c>
      <c r="M9" s="67">
        <v>125</v>
      </c>
      <c r="N9" s="67">
        <v>135</v>
      </c>
      <c r="O9" s="67">
        <v>145</v>
      </c>
      <c r="P9" s="67">
        <v>150</v>
      </c>
      <c r="Q9" s="67">
        <v>160</v>
      </c>
      <c r="R9" s="67">
        <v>165</v>
      </c>
      <c r="S9" s="68">
        <v>130</v>
      </c>
      <c r="T9" s="68">
        <v>140</v>
      </c>
      <c r="U9" s="68">
        <v>155</v>
      </c>
      <c r="V9" s="68">
        <v>165</v>
      </c>
      <c r="W9" s="68">
        <v>175</v>
      </c>
      <c r="X9" s="68">
        <v>180</v>
      </c>
      <c r="Y9" s="68">
        <v>185</v>
      </c>
      <c r="Z9" s="68">
        <v>190</v>
      </c>
      <c r="AA9" s="69">
        <v>145</v>
      </c>
      <c r="AB9" s="69">
        <v>165</v>
      </c>
      <c r="AC9" s="69">
        <v>180</v>
      </c>
      <c r="AD9" s="69">
        <v>190</v>
      </c>
      <c r="AE9" s="69">
        <v>200</v>
      </c>
      <c r="AF9" s="69">
        <v>205</v>
      </c>
      <c r="AG9" s="69">
        <v>210</v>
      </c>
      <c r="AH9" s="69">
        <v>215</v>
      </c>
      <c r="AI9" s="72">
        <v>130</v>
      </c>
      <c r="AJ9" s="72">
        <v>135</v>
      </c>
      <c r="AK9" s="72">
        <v>170</v>
      </c>
      <c r="AL9" s="72">
        <v>190</v>
      </c>
      <c r="AM9" s="72">
        <v>210</v>
      </c>
      <c r="AN9" s="72">
        <v>220</v>
      </c>
      <c r="AO9" s="72">
        <v>240</v>
      </c>
      <c r="AP9" s="72">
        <v>250</v>
      </c>
      <c r="AQ9" s="73">
        <v>150</v>
      </c>
      <c r="AR9" s="73">
        <v>190</v>
      </c>
      <c r="AS9" s="73">
        <v>210</v>
      </c>
      <c r="AT9" s="73">
        <v>230</v>
      </c>
      <c r="AU9" s="73">
        <v>250</v>
      </c>
      <c r="AV9" s="73">
        <v>260</v>
      </c>
      <c r="AW9" s="73">
        <v>280</v>
      </c>
      <c r="AX9" s="73">
        <v>280</v>
      </c>
      <c r="AY9" s="72">
        <v>210</v>
      </c>
      <c r="AZ9" s="72">
        <v>230</v>
      </c>
      <c r="BA9" s="72">
        <v>260</v>
      </c>
      <c r="BB9" s="72">
        <v>285</v>
      </c>
      <c r="BC9" s="72">
        <v>300</v>
      </c>
      <c r="BD9" s="72">
        <v>310</v>
      </c>
      <c r="BE9" s="72">
        <v>325</v>
      </c>
      <c r="BF9" s="72">
        <v>330</v>
      </c>
      <c r="BG9" s="74">
        <v>225</v>
      </c>
      <c r="BH9" s="74">
        <v>255</v>
      </c>
      <c r="BI9" s="74">
        <v>275</v>
      </c>
      <c r="BJ9" s="74">
        <v>305</v>
      </c>
      <c r="BK9" s="74">
        <v>325</v>
      </c>
      <c r="BL9" s="74">
        <v>330</v>
      </c>
      <c r="BM9" s="74">
        <v>345</v>
      </c>
      <c r="BN9" s="74">
        <v>355</v>
      </c>
    </row>
    <row r="10" spans="1:66" x14ac:dyDescent="0.2">
      <c r="B10" t="s">
        <v>52</v>
      </c>
      <c r="C10" s="67">
        <v>1000</v>
      </c>
      <c r="D10" s="67">
        <v>1000</v>
      </c>
      <c r="E10" s="67">
        <v>1000</v>
      </c>
      <c r="F10" s="67">
        <v>1000</v>
      </c>
      <c r="G10" s="67">
        <v>1000</v>
      </c>
      <c r="H10" s="67">
        <v>1000</v>
      </c>
      <c r="I10" s="67">
        <v>1000</v>
      </c>
      <c r="J10" s="67">
        <v>1000</v>
      </c>
      <c r="K10" s="67">
        <v>1000</v>
      </c>
      <c r="L10" s="67">
        <v>1000</v>
      </c>
      <c r="M10" s="67">
        <v>1000</v>
      </c>
      <c r="N10" s="67">
        <v>1000</v>
      </c>
      <c r="O10" s="67">
        <v>1000</v>
      </c>
      <c r="P10" s="67">
        <v>1000</v>
      </c>
      <c r="Q10" s="67">
        <v>1000</v>
      </c>
      <c r="R10" s="67">
        <v>1000</v>
      </c>
      <c r="S10" s="67">
        <v>1000</v>
      </c>
      <c r="T10" s="67">
        <v>1000</v>
      </c>
      <c r="U10" s="67">
        <v>1000</v>
      </c>
      <c r="V10" s="67">
        <v>1000</v>
      </c>
      <c r="W10" s="67">
        <v>1000</v>
      </c>
      <c r="X10" s="67">
        <v>1000</v>
      </c>
      <c r="Y10" s="67">
        <v>1000</v>
      </c>
      <c r="Z10" s="67">
        <v>1000</v>
      </c>
      <c r="AA10" s="69">
        <v>160</v>
      </c>
      <c r="AB10" s="69">
        <v>180</v>
      </c>
      <c r="AC10" s="69">
        <v>195</v>
      </c>
      <c r="AD10" s="69">
        <v>205</v>
      </c>
      <c r="AE10" s="69">
        <v>215</v>
      </c>
      <c r="AF10" s="69">
        <v>220</v>
      </c>
      <c r="AG10" s="69">
        <v>225</v>
      </c>
      <c r="AH10" s="69">
        <v>230</v>
      </c>
      <c r="AI10" s="67">
        <v>1000</v>
      </c>
      <c r="AJ10" s="67">
        <v>1000</v>
      </c>
      <c r="AK10" s="67">
        <v>1000</v>
      </c>
      <c r="AL10" s="67">
        <v>1000</v>
      </c>
      <c r="AM10" s="67">
        <v>1000</v>
      </c>
      <c r="AN10" s="67">
        <v>1000</v>
      </c>
      <c r="AO10" s="67">
        <v>10000</v>
      </c>
      <c r="AP10" s="67">
        <v>1000</v>
      </c>
      <c r="AQ10" s="70">
        <v>1000</v>
      </c>
      <c r="AR10" s="70">
        <v>1000</v>
      </c>
      <c r="AS10" s="70">
        <v>1000</v>
      </c>
      <c r="AT10" s="70">
        <v>1000</v>
      </c>
      <c r="AU10" s="70">
        <v>1000</v>
      </c>
      <c r="AV10" s="70">
        <v>10000</v>
      </c>
      <c r="AW10" s="70">
        <v>1000</v>
      </c>
      <c r="AX10" s="70">
        <v>1000</v>
      </c>
      <c r="AY10" s="67">
        <v>1000</v>
      </c>
      <c r="AZ10" s="67">
        <v>1000</v>
      </c>
      <c r="BA10" s="67">
        <v>1000</v>
      </c>
      <c r="BB10" s="67">
        <v>10000</v>
      </c>
      <c r="BC10" s="67">
        <v>1000</v>
      </c>
      <c r="BD10" s="67">
        <v>1000</v>
      </c>
      <c r="BE10" s="67">
        <v>1000</v>
      </c>
      <c r="BF10" s="67">
        <v>10000</v>
      </c>
      <c r="BG10" s="74">
        <v>240</v>
      </c>
      <c r="BH10" s="74">
        <v>270</v>
      </c>
      <c r="BI10" s="74">
        <v>290</v>
      </c>
      <c r="BJ10" s="74">
        <v>320</v>
      </c>
      <c r="BK10" s="74">
        <v>345</v>
      </c>
      <c r="BL10" s="74">
        <v>355</v>
      </c>
      <c r="BM10" s="74">
        <v>365</v>
      </c>
      <c r="BN10" s="74">
        <v>375</v>
      </c>
    </row>
    <row r="11" spans="1:66" x14ac:dyDescent="0.2">
      <c r="B11" t="s">
        <v>53</v>
      </c>
      <c r="C11" t="s">
        <v>54</v>
      </c>
      <c r="D11" t="s">
        <v>54</v>
      </c>
      <c r="E11" t="s">
        <v>55</v>
      </c>
      <c r="F11" t="s">
        <v>56</v>
      </c>
      <c r="G11" s="75"/>
      <c r="H11" s="76" t="s">
        <v>53</v>
      </c>
      <c r="I11" s="76" t="s">
        <v>57</v>
      </c>
      <c r="J11" s="76" t="s">
        <v>57</v>
      </c>
      <c r="K11" s="76" t="s">
        <v>55</v>
      </c>
      <c r="L11" s="76" t="s">
        <v>56</v>
      </c>
      <c r="M11" s="76"/>
      <c r="N11" s="76"/>
      <c r="O11" s="76"/>
      <c r="P11" s="76"/>
      <c r="Q11" s="76"/>
      <c r="R11" s="76"/>
      <c r="S11" s="76"/>
      <c r="T11" s="76"/>
      <c r="U11" s="76"/>
    </row>
    <row r="12" spans="1:66" x14ac:dyDescent="0.2">
      <c r="A12">
        <v>20.010000000000002</v>
      </c>
      <c r="B12" s="77" t="s">
        <v>58</v>
      </c>
      <c r="C12" s="65" t="s">
        <v>29</v>
      </c>
      <c r="D12" s="65" t="s">
        <v>36</v>
      </c>
      <c r="E12" s="65" t="s">
        <v>71</v>
      </c>
      <c r="F12" s="65" t="s">
        <v>79</v>
      </c>
      <c r="G12" s="75">
        <v>20.010000000000002</v>
      </c>
      <c r="H12" s="78" t="s">
        <v>58</v>
      </c>
      <c r="I12" s="79" t="s">
        <v>15</v>
      </c>
      <c r="J12" s="79" t="s">
        <v>23</v>
      </c>
      <c r="K12" s="79" t="s">
        <v>87</v>
      </c>
      <c r="L12" s="79" t="s">
        <v>93</v>
      </c>
      <c r="M12" s="76"/>
      <c r="N12" s="79"/>
      <c r="O12" s="79"/>
      <c r="P12" s="79"/>
      <c r="Q12" s="79"/>
      <c r="R12" s="79"/>
      <c r="S12" s="79"/>
      <c r="T12" s="76"/>
      <c r="U12" s="76"/>
    </row>
    <row r="13" spans="1:66" x14ac:dyDescent="0.2">
      <c r="A13">
        <v>34.01</v>
      </c>
      <c r="B13" s="77" t="s">
        <v>58</v>
      </c>
      <c r="C13" s="65" t="s">
        <v>29</v>
      </c>
      <c r="D13" s="65" t="s">
        <v>36</v>
      </c>
      <c r="E13" s="65" t="s">
        <v>71</v>
      </c>
      <c r="F13" s="65" t="s">
        <v>79</v>
      </c>
      <c r="G13" s="75">
        <v>30.01</v>
      </c>
      <c r="H13" s="78" t="s">
        <v>58</v>
      </c>
      <c r="I13" s="79" t="s">
        <v>15</v>
      </c>
      <c r="J13" s="79" t="s">
        <v>23</v>
      </c>
      <c r="K13" s="79" t="s">
        <v>87</v>
      </c>
      <c r="L13" s="79" t="s">
        <v>93</v>
      </c>
      <c r="M13" s="76"/>
      <c r="N13" s="79"/>
      <c r="O13" s="79"/>
      <c r="P13" s="79"/>
      <c r="Q13" s="79"/>
      <c r="R13" s="79"/>
      <c r="S13" s="79"/>
      <c r="T13" s="76"/>
      <c r="U13" s="76"/>
    </row>
    <row r="14" spans="1:66" x14ac:dyDescent="0.2">
      <c r="A14">
        <v>38.01</v>
      </c>
      <c r="B14" s="77" t="s">
        <v>58</v>
      </c>
      <c r="C14" s="65" t="s">
        <v>29</v>
      </c>
      <c r="D14" s="65" t="s">
        <v>36</v>
      </c>
      <c r="E14" s="65" t="s">
        <v>71</v>
      </c>
      <c r="F14" s="65" t="s">
        <v>79</v>
      </c>
      <c r="G14" s="80">
        <v>35.01</v>
      </c>
      <c r="H14" s="78" t="s">
        <v>58</v>
      </c>
      <c r="I14" s="79" t="s">
        <v>15</v>
      </c>
      <c r="J14" s="79" t="s">
        <v>23</v>
      </c>
      <c r="K14" s="79" t="s">
        <v>87</v>
      </c>
      <c r="L14" s="79" t="s">
        <v>93</v>
      </c>
      <c r="M14" s="76"/>
      <c r="N14" s="79"/>
      <c r="O14" s="79"/>
      <c r="P14" s="79"/>
      <c r="Q14" s="79"/>
      <c r="R14" s="79"/>
      <c r="S14" s="79"/>
      <c r="T14" s="76"/>
      <c r="U14" s="76"/>
    </row>
    <row r="15" spans="1:66" x14ac:dyDescent="0.2">
      <c r="A15">
        <v>40.01</v>
      </c>
      <c r="B15" s="77" t="s">
        <v>58</v>
      </c>
      <c r="C15" s="65" t="s">
        <v>29</v>
      </c>
      <c r="D15" s="65" t="s">
        <v>36</v>
      </c>
      <c r="E15" s="65" t="s">
        <v>71</v>
      </c>
      <c r="F15" s="65" t="s">
        <v>79</v>
      </c>
      <c r="G15" s="81">
        <v>36.01</v>
      </c>
      <c r="H15" s="78" t="s">
        <v>58</v>
      </c>
      <c r="I15" s="79" t="s">
        <v>15</v>
      </c>
      <c r="J15" s="79" t="s">
        <v>23</v>
      </c>
      <c r="K15" s="83" t="s">
        <v>87</v>
      </c>
      <c r="L15" s="83" t="s">
        <v>93</v>
      </c>
      <c r="M15" s="82"/>
      <c r="N15" s="79"/>
      <c r="O15" s="79"/>
      <c r="P15" s="79"/>
      <c r="Q15" s="79"/>
      <c r="R15" s="79"/>
      <c r="S15" s="79"/>
      <c r="T15" s="82"/>
      <c r="U15" s="82"/>
    </row>
    <row r="16" spans="1:66" x14ac:dyDescent="0.2">
      <c r="A16">
        <v>45.01</v>
      </c>
      <c r="B16" s="77" t="s">
        <v>58</v>
      </c>
      <c r="C16" s="65" t="s">
        <v>30</v>
      </c>
      <c r="D16" s="65" t="s">
        <v>36</v>
      </c>
      <c r="E16" s="65" t="s">
        <v>71</v>
      </c>
      <c r="F16" s="65" t="s">
        <v>79</v>
      </c>
      <c r="G16" s="81">
        <v>40.01</v>
      </c>
      <c r="H16" s="78" t="s">
        <v>58</v>
      </c>
      <c r="I16" s="79" t="s">
        <v>16</v>
      </c>
      <c r="J16" s="79" t="s">
        <v>23</v>
      </c>
      <c r="K16" s="83" t="s">
        <v>87</v>
      </c>
      <c r="L16" s="83" t="s">
        <v>93</v>
      </c>
      <c r="M16" s="82"/>
      <c r="N16" s="79"/>
      <c r="O16" s="79"/>
      <c r="P16" s="79"/>
      <c r="Q16" s="79"/>
      <c r="R16" s="79"/>
      <c r="S16" s="79"/>
      <c r="T16" s="82"/>
      <c r="U16" s="82"/>
    </row>
    <row r="17" spans="1:37" x14ac:dyDescent="0.2">
      <c r="A17">
        <v>50.01</v>
      </c>
      <c r="B17" s="77" t="s">
        <v>58</v>
      </c>
      <c r="C17" s="65" t="s">
        <v>31</v>
      </c>
      <c r="D17" s="65" t="s">
        <v>37</v>
      </c>
      <c r="E17" s="65" t="s">
        <v>71</v>
      </c>
      <c r="F17" s="65" t="s">
        <v>79</v>
      </c>
      <c r="G17" s="81">
        <v>44.01</v>
      </c>
      <c r="H17" s="78" t="s">
        <v>58</v>
      </c>
      <c r="I17" s="83" t="s">
        <v>17</v>
      </c>
      <c r="J17" s="83" t="s">
        <v>24</v>
      </c>
      <c r="K17" s="83" t="s">
        <v>87</v>
      </c>
      <c r="L17" s="83" t="s">
        <v>93</v>
      </c>
      <c r="M17" s="82"/>
      <c r="N17" s="83"/>
      <c r="O17" s="83"/>
      <c r="P17" s="83"/>
      <c r="Q17" s="83"/>
      <c r="R17" s="83"/>
      <c r="S17" s="83"/>
      <c r="T17" s="82"/>
      <c r="U17" s="82"/>
    </row>
    <row r="18" spans="1:37" x14ac:dyDescent="0.2">
      <c r="A18">
        <v>52.05</v>
      </c>
      <c r="B18" s="77" t="s">
        <v>58</v>
      </c>
      <c r="C18" s="65" t="s">
        <v>31</v>
      </c>
      <c r="D18" s="65" t="s">
        <v>37</v>
      </c>
      <c r="E18" s="65" t="s">
        <v>71</v>
      </c>
      <c r="F18" s="65" t="s">
        <v>79</v>
      </c>
      <c r="G18" s="81">
        <v>48.01</v>
      </c>
      <c r="H18" s="78" t="s">
        <v>58</v>
      </c>
      <c r="I18" s="83" t="s">
        <v>18</v>
      </c>
      <c r="J18" s="83" t="s">
        <v>25</v>
      </c>
      <c r="K18" s="83" t="s">
        <v>88</v>
      </c>
      <c r="L18" s="83" t="s">
        <v>94</v>
      </c>
      <c r="M18" s="82"/>
      <c r="N18" s="83"/>
      <c r="O18" s="83"/>
      <c r="P18" s="83"/>
      <c r="Q18" s="83"/>
      <c r="R18" s="83"/>
      <c r="S18" s="83"/>
      <c r="T18" s="82"/>
      <c r="U18" s="82"/>
    </row>
    <row r="19" spans="1:37" x14ac:dyDescent="0.2">
      <c r="A19">
        <v>56.01</v>
      </c>
      <c r="B19" s="77" t="s">
        <v>58</v>
      </c>
      <c r="C19" s="65" t="s">
        <v>32</v>
      </c>
      <c r="D19" s="65" t="s">
        <v>38</v>
      </c>
      <c r="E19" s="65" t="s">
        <v>72</v>
      </c>
      <c r="F19" s="65" t="s">
        <v>80</v>
      </c>
      <c r="G19" s="81">
        <v>53.01</v>
      </c>
      <c r="H19" s="78" t="s">
        <v>58</v>
      </c>
      <c r="I19" s="83" t="s">
        <v>19</v>
      </c>
      <c r="J19" s="83" t="s">
        <v>26</v>
      </c>
      <c r="K19" s="83" t="s">
        <v>89</v>
      </c>
      <c r="L19" s="83" t="s">
        <v>95</v>
      </c>
      <c r="M19" s="82"/>
      <c r="N19" s="83"/>
      <c r="O19" s="83"/>
      <c r="P19" s="83"/>
      <c r="Q19" s="83"/>
      <c r="R19" s="83"/>
      <c r="S19" s="83"/>
      <c r="T19" s="82"/>
      <c r="U19" s="82"/>
    </row>
    <row r="20" spans="1:37" x14ac:dyDescent="0.2">
      <c r="A20">
        <v>62.01</v>
      </c>
      <c r="B20" s="77" t="s">
        <v>58</v>
      </c>
      <c r="C20" s="65" t="s">
        <v>33</v>
      </c>
      <c r="D20" s="65" t="s">
        <v>39</v>
      </c>
      <c r="E20" s="65" t="s">
        <v>73</v>
      </c>
      <c r="F20" s="65" t="s">
        <v>81</v>
      </c>
      <c r="G20" s="81">
        <v>58.01</v>
      </c>
      <c r="H20" s="78" t="s">
        <v>58</v>
      </c>
      <c r="I20" s="83" t="s">
        <v>20</v>
      </c>
      <c r="J20" s="83" t="s">
        <v>27</v>
      </c>
      <c r="K20" s="83" t="s">
        <v>90</v>
      </c>
      <c r="L20" s="83" t="s">
        <v>96</v>
      </c>
      <c r="M20" s="82"/>
      <c r="N20" s="83"/>
      <c r="O20" s="83"/>
      <c r="P20" s="83"/>
      <c r="Q20" s="83"/>
      <c r="R20" s="83"/>
      <c r="S20" s="83"/>
      <c r="T20" s="82"/>
      <c r="U20" s="82"/>
    </row>
    <row r="21" spans="1:37" x14ac:dyDescent="0.2">
      <c r="A21">
        <v>69.010000000000005</v>
      </c>
      <c r="B21" s="77" t="s">
        <v>58</v>
      </c>
      <c r="C21" s="65" t="s">
        <v>34</v>
      </c>
      <c r="D21" s="65" t="s">
        <v>40</v>
      </c>
      <c r="E21" s="65" t="s">
        <v>74</v>
      </c>
      <c r="F21" s="65" t="s">
        <v>82</v>
      </c>
      <c r="G21" s="81">
        <v>63.01</v>
      </c>
      <c r="H21" s="78" t="s">
        <v>58</v>
      </c>
      <c r="I21" s="83" t="s">
        <v>21</v>
      </c>
      <c r="J21" s="83" t="s">
        <v>28</v>
      </c>
      <c r="K21" s="83" t="s">
        <v>91</v>
      </c>
      <c r="L21" s="83" t="s">
        <v>97</v>
      </c>
      <c r="M21" s="82"/>
      <c r="N21" s="83"/>
      <c r="O21" s="83"/>
      <c r="P21" s="83"/>
      <c r="Q21" s="83"/>
      <c r="R21" s="83"/>
      <c r="S21" s="83"/>
      <c r="T21" s="82"/>
      <c r="U21" s="82"/>
    </row>
    <row r="22" spans="1:37" x14ac:dyDescent="0.2">
      <c r="A22">
        <v>77.010000000000005</v>
      </c>
      <c r="B22" s="77" t="s">
        <v>58</v>
      </c>
      <c r="C22" s="65" t="s">
        <v>35</v>
      </c>
      <c r="D22" s="65" t="s">
        <v>41</v>
      </c>
      <c r="E22" s="65" t="s">
        <v>75</v>
      </c>
      <c r="F22" s="65" t="s">
        <v>83</v>
      </c>
      <c r="G22" s="81">
        <v>69.010000000000005</v>
      </c>
      <c r="H22" s="78" t="s">
        <v>58</v>
      </c>
      <c r="I22" s="83" t="s">
        <v>22</v>
      </c>
      <c r="J22" s="83" t="s">
        <v>104</v>
      </c>
      <c r="K22" s="83" t="s">
        <v>92</v>
      </c>
      <c r="L22" s="83" t="s">
        <v>98</v>
      </c>
      <c r="M22" s="82"/>
      <c r="N22" s="83"/>
      <c r="O22" s="83"/>
      <c r="P22" s="83"/>
      <c r="Q22" s="83"/>
      <c r="R22" s="83"/>
      <c r="S22" s="83"/>
      <c r="T22" s="82"/>
      <c r="U22" s="82"/>
    </row>
    <row r="23" spans="1:37" x14ac:dyDescent="0.2">
      <c r="A23">
        <v>85.01</v>
      </c>
      <c r="B23" s="77" t="s">
        <v>58</v>
      </c>
      <c r="C23" s="65" t="s">
        <v>99</v>
      </c>
      <c r="D23" s="65" t="s">
        <v>42</v>
      </c>
      <c r="E23" s="65" t="s">
        <v>76</v>
      </c>
      <c r="F23" s="65" t="s">
        <v>84</v>
      </c>
      <c r="G23" s="81">
        <v>75.010000000000005</v>
      </c>
      <c r="H23" s="78" t="s">
        <v>58</v>
      </c>
      <c r="I23" s="83" t="s">
        <v>22</v>
      </c>
      <c r="J23" s="83" t="s">
        <v>105</v>
      </c>
      <c r="K23" s="83" t="s">
        <v>102</v>
      </c>
      <c r="L23" s="83" t="s">
        <v>100</v>
      </c>
      <c r="M23" s="82"/>
      <c r="N23" s="83"/>
      <c r="O23" s="83"/>
      <c r="P23" s="83"/>
      <c r="Q23" s="83"/>
      <c r="R23" s="83"/>
      <c r="S23" s="83"/>
      <c r="T23" s="82"/>
      <c r="U23" s="82"/>
    </row>
    <row r="24" spans="1:37" x14ac:dyDescent="0.2">
      <c r="A24">
        <v>94.01</v>
      </c>
      <c r="B24" s="77" t="s">
        <v>58</v>
      </c>
      <c r="C24" s="65" t="s">
        <v>99</v>
      </c>
      <c r="D24" s="65" t="s">
        <v>43</v>
      </c>
      <c r="E24" s="65" t="s">
        <v>77</v>
      </c>
      <c r="F24" s="65" t="s">
        <v>85</v>
      </c>
      <c r="G24" s="81">
        <v>90.01</v>
      </c>
      <c r="H24" s="78" t="s">
        <v>58</v>
      </c>
      <c r="I24" s="83" t="s">
        <v>22</v>
      </c>
      <c r="J24" s="83" t="s">
        <v>105</v>
      </c>
      <c r="K24" s="83" t="s">
        <v>103</v>
      </c>
      <c r="L24" s="83" t="s">
        <v>101</v>
      </c>
      <c r="M24" s="82"/>
      <c r="N24" s="83"/>
      <c r="O24" s="83"/>
      <c r="P24" s="83"/>
      <c r="Q24" s="83"/>
      <c r="R24" s="83"/>
      <c r="S24" s="83"/>
      <c r="T24" s="82"/>
      <c r="U24" s="82"/>
    </row>
    <row r="25" spans="1:37" x14ac:dyDescent="0.2">
      <c r="A25">
        <v>105.01</v>
      </c>
      <c r="B25" s="77" t="s">
        <v>58</v>
      </c>
      <c r="C25" s="65" t="s">
        <v>99</v>
      </c>
      <c r="D25" s="65" t="s">
        <v>43</v>
      </c>
      <c r="E25" s="65" t="s">
        <v>78</v>
      </c>
      <c r="F25" s="65" t="s">
        <v>86</v>
      </c>
      <c r="G25">
        <v>110</v>
      </c>
      <c r="H25" s="78" t="s">
        <v>58</v>
      </c>
      <c r="I25" s="83" t="s">
        <v>22</v>
      </c>
      <c r="J25" s="83" t="s">
        <v>105</v>
      </c>
      <c r="K25" s="83" t="s">
        <v>103</v>
      </c>
      <c r="L25" s="83" t="s">
        <v>101</v>
      </c>
      <c r="M25" s="82"/>
      <c r="N25" s="83"/>
      <c r="O25" s="83"/>
      <c r="P25" s="83"/>
      <c r="Q25" s="83"/>
      <c r="R25" s="83"/>
      <c r="S25" s="83"/>
      <c r="T25" s="82"/>
      <c r="U25" s="82"/>
    </row>
    <row r="26" spans="1:37" x14ac:dyDescent="0.2">
      <c r="A26">
        <v>110</v>
      </c>
      <c r="B26" s="77" t="s">
        <v>58</v>
      </c>
      <c r="C26" s="65" t="s">
        <v>99</v>
      </c>
      <c r="D26" s="65" t="s">
        <v>43</v>
      </c>
      <c r="E26" s="65" t="s">
        <v>78</v>
      </c>
      <c r="F26" s="65" t="s">
        <v>86</v>
      </c>
      <c r="G26">
        <v>140</v>
      </c>
      <c r="H26" s="78" t="s">
        <v>58</v>
      </c>
      <c r="I26" s="83" t="s">
        <v>22</v>
      </c>
      <c r="J26" s="83" t="s">
        <v>105</v>
      </c>
      <c r="K26" s="83" t="s">
        <v>103</v>
      </c>
      <c r="L26" s="83" t="s">
        <v>101</v>
      </c>
    </row>
    <row r="27" spans="1:37" x14ac:dyDescent="0.2">
      <c r="A27">
        <v>120</v>
      </c>
      <c r="B27" s="77" t="s">
        <v>58</v>
      </c>
      <c r="C27" s="65" t="s">
        <v>99</v>
      </c>
      <c r="D27" s="65" t="s">
        <v>43</v>
      </c>
      <c r="E27" s="65" t="s">
        <v>78</v>
      </c>
      <c r="F27" s="65" t="s">
        <v>86</v>
      </c>
    </row>
    <row r="28" spans="1:37" x14ac:dyDescent="0.2">
      <c r="A28">
        <v>130</v>
      </c>
      <c r="B28" s="77" t="s">
        <v>58</v>
      </c>
      <c r="C28" s="65" t="s">
        <v>99</v>
      </c>
      <c r="D28" s="65" t="s">
        <v>43</v>
      </c>
      <c r="E28" s="65" t="s">
        <v>78</v>
      </c>
      <c r="F28" s="65" t="s">
        <v>86</v>
      </c>
    </row>
    <row r="29" spans="1:37" x14ac:dyDescent="0.2">
      <c r="A29">
        <v>140</v>
      </c>
      <c r="B29" s="77" t="s">
        <v>58</v>
      </c>
      <c r="C29" s="65" t="s">
        <v>99</v>
      </c>
      <c r="D29" s="65" t="s">
        <v>43</v>
      </c>
      <c r="E29" s="65" t="s">
        <v>78</v>
      </c>
      <c r="F29" s="65" t="s">
        <v>86</v>
      </c>
      <c r="AK29" s="6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FEMME FED</vt:lpstr>
      <vt:lpstr>HOMME FED</vt:lpstr>
      <vt:lpstr>Minimas</vt:lpstr>
      <vt:lpstr>'FEMME FED'!Impression_des_titres</vt:lpstr>
      <vt:lpstr>'HOMME FED'!Impression_des_titres</vt:lpstr>
      <vt:lpstr>'FEMME FED'!Zone_d_impression</vt:lpstr>
      <vt:lpstr>'HOMME FED'!Zone_d_impression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2018-03-27T12:43:45Z</cp:lastPrinted>
  <dcterms:created xsi:type="dcterms:W3CDTF">2004-10-09T07:29:01Z</dcterms:created>
  <dcterms:modified xsi:type="dcterms:W3CDTF">2018-03-27T12:44:03Z</dcterms:modified>
</cp:coreProperties>
</file>